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7320" activeTab="0"/>
  </bookViews>
  <sheets>
    <sheet name="jaarekening 2022" sheetId="1" r:id="rId1"/>
    <sheet name="31 dec 2022" sheetId="2" r:id="rId2"/>
    <sheet name="proj 2022" sheetId="3" r:id="rId3"/>
    <sheet name="jaarrekening 2021" sheetId="4" r:id="rId4"/>
    <sheet name="31 dec 2021" sheetId="5" r:id="rId5"/>
    <sheet name="proj 2021" sheetId="6" r:id="rId6"/>
    <sheet name="Blad3" sheetId="7" r:id="rId7"/>
    <sheet name="jaarrekening 2020" sheetId="8" r:id="rId8"/>
    <sheet name="31 dec 2020" sheetId="9" r:id="rId9"/>
    <sheet name="project 2020" sheetId="10" r:id="rId10"/>
    <sheet name="Blad1" sheetId="11" r:id="rId11"/>
    <sheet name="jaarekening 2019  begr 2020" sheetId="12" r:id="rId12"/>
    <sheet name="31 dec 2019" sheetId="13" r:id="rId13"/>
    <sheet name="project 2019" sheetId="14" r:id="rId14"/>
    <sheet name="project 2018 def" sheetId="15" r:id="rId15"/>
    <sheet name="jaarek 2018 begr 2019" sheetId="16" r:id="rId16"/>
    <sheet name="project 2018" sheetId="17" r:id="rId17"/>
    <sheet name="jaarrek 2017 begr 2018 " sheetId="18" r:id="rId18"/>
    <sheet name="jaarekening 2016 begr 2017" sheetId="19" r:id="rId19"/>
    <sheet name="fin overz 31 dec 2016" sheetId="20" r:id="rId20"/>
    <sheet name="project 2016" sheetId="21" r:id="rId21"/>
    <sheet name="projecten 2015" sheetId="22" r:id="rId22"/>
  </sheets>
  <externalReferences>
    <externalReference r:id="rId25"/>
    <externalReference r:id="rId26"/>
  </externalReferences>
  <definedNames>
    <definedName name="_xlnm.Print_Area" localSheetId="12">'31 dec 2019'!$A$4:$M$32</definedName>
    <definedName name="_xlnm.Print_Area" localSheetId="4">'31 dec 2021'!$A$1:$M$48</definedName>
    <definedName name="_xlnm.Print_Area" localSheetId="1">'31 dec 2022'!$A$1:$K$33</definedName>
    <definedName name="_xlnm.Print_Area" localSheetId="10">'Blad1'!$B$1:$J$54</definedName>
    <definedName name="_xlnm.Print_Area" localSheetId="19">'fin overz 31 dec 2016'!$B$7:$N$33</definedName>
    <definedName name="_xlnm.Print_Area" localSheetId="15">'jaarek 2018 begr 2019'!$L$2:$T$26</definedName>
    <definedName name="_xlnm.Print_Area" localSheetId="11">'jaarekening 2019  begr 2020'!$L$1:$T$26</definedName>
    <definedName name="_xlnm.Print_Area" localSheetId="0">'jaarekening 2022'!$A$1:$I$48</definedName>
    <definedName name="_xlnm.Print_Area" localSheetId="5">'proj 2021'!$A$1:$H$196</definedName>
    <definedName name="_xlnm.Print_Area" localSheetId="2">'proj 2022'!$A$1:$I$185</definedName>
    <definedName name="_xlnm.Print_Area" localSheetId="20">'project 2016'!$B$1:$F$169</definedName>
    <definedName name="_xlnm.Print_Area" localSheetId="16">'project 2018'!$A$1:$H$376</definedName>
    <definedName name="_xlnm.Print_Area" localSheetId="9">'project 2020'!$A$1:$J$211</definedName>
  </definedNames>
  <calcPr fullCalcOnLoad="1"/>
</workbook>
</file>

<file path=xl/sharedStrings.xml><?xml version="1.0" encoding="utf-8"?>
<sst xmlns="http://schemas.openxmlformats.org/spreadsheetml/2006/main" count="2827" uniqueCount="675">
  <si>
    <t>Themamiddagen (Strix Aluco)</t>
  </si>
  <si>
    <t>Banksaldo Tuinwerkgroep</t>
  </si>
  <si>
    <t>Saldo</t>
  </si>
  <si>
    <t>themamiddag kerst 2007</t>
  </si>
  <si>
    <t>C.van Kruysbergen/</t>
  </si>
  <si>
    <t>Onvangsten</t>
  </si>
  <si>
    <t>Themamiddag</t>
  </si>
  <si>
    <t xml:space="preserve">themamiddag </t>
  </si>
  <si>
    <t>Borden tuin</t>
  </si>
  <si>
    <t>themamiddag</t>
  </si>
  <si>
    <t>Stg Strix Aluco</t>
  </si>
  <si>
    <t>Algemene publieksactiviteiten/</t>
  </si>
  <si>
    <t>Opendag Jurassic in Polderland</t>
  </si>
  <si>
    <t>Stg Strix Aluco(laatste termijn)</t>
  </si>
  <si>
    <t>Themamiddag kerst</t>
  </si>
  <si>
    <t>Themamiddagbraakballen</t>
  </si>
  <si>
    <t>Bijdrage tentoonstelling</t>
  </si>
  <si>
    <t>Themamiddag vleermuiskasten</t>
  </si>
  <si>
    <t>Bijdrage tentoonst.Over nachten</t>
  </si>
  <si>
    <t>Rente 2011</t>
  </si>
  <si>
    <t>Rente 2012</t>
  </si>
  <si>
    <t>Workshop vindsels</t>
  </si>
  <si>
    <t>Rente 2013</t>
  </si>
  <si>
    <t>SC Johnson Europlant tbv aanpassen tuin</t>
  </si>
  <si>
    <t>Ontvangen</t>
  </si>
  <si>
    <t>Aankopen Anouk</t>
  </si>
  <si>
    <t>Voorschot Susan</t>
  </si>
  <si>
    <t>De Huifkar/vijverbakken</t>
  </si>
  <si>
    <t>Daglish Klus/tbv tuin</t>
  </si>
  <si>
    <t>Themamiddag Kerst</t>
  </si>
  <si>
    <t>De Huifkar/turfstrooisel</t>
  </si>
  <si>
    <t>Themamiddagen</t>
  </si>
  <si>
    <t>rente 2014</t>
  </si>
  <si>
    <t>Themamiddag vogels</t>
  </si>
  <si>
    <t>Themamiddag fossielen</t>
  </si>
  <si>
    <t>Aankoop planten</t>
  </si>
  <si>
    <t>Picknicktafel</t>
  </si>
  <si>
    <t>VDE/gaas</t>
  </si>
  <si>
    <t>Bouwmaterialen</t>
  </si>
  <si>
    <t>Donatie Stg Facta non Verba</t>
  </si>
  <si>
    <t>Uitgaven 2013</t>
  </si>
  <si>
    <t>Bankkosten 2014</t>
  </si>
  <si>
    <t>div data</t>
  </si>
  <si>
    <t>Uittreksel KvK</t>
  </si>
  <si>
    <t>Vergaderkosten</t>
  </si>
  <si>
    <t>Donatie  St Ronde venen Fonds</t>
  </si>
  <si>
    <t>Donatie INV</t>
  </si>
  <si>
    <t>Uitgaven 2014</t>
  </si>
  <si>
    <t>Overzicht van projecten</t>
  </si>
  <si>
    <t>blad 1</t>
  </si>
  <si>
    <t>Rente 2015</t>
  </si>
  <si>
    <t>De Huifkar /planten heesters</t>
  </si>
  <si>
    <t>in groen uitgaven 2015 en saldi 21 oktober 2015</t>
  </si>
  <si>
    <t>Saldo 21 oktober 2015</t>
  </si>
  <si>
    <t>bankkosten tot 15 mei 2015</t>
  </si>
  <si>
    <t>Kraakhelder producties</t>
  </si>
  <si>
    <t>bankkosten ABNAMRO</t>
  </si>
  <si>
    <t>t/m 31 okt 2015</t>
  </si>
  <si>
    <t>Tafelzeilonline</t>
  </si>
  <si>
    <t>rente</t>
  </si>
  <si>
    <t>Saldo 31 dec 2015</t>
  </si>
  <si>
    <t>Saldo 31 december 2015</t>
  </si>
  <si>
    <t>Geen mutaties</t>
  </si>
  <si>
    <t>Rente 2016</t>
  </si>
  <si>
    <t>Saldo 24  mei 2016</t>
  </si>
  <si>
    <t>blad 2</t>
  </si>
  <si>
    <t>2016 tot 24 mei geen uitgaven</t>
  </si>
  <si>
    <t>bankkosten</t>
  </si>
  <si>
    <t>Saldo 24 mei 2016</t>
  </si>
  <si>
    <t>Overzichten projecten 2016</t>
  </si>
  <si>
    <t>RABO rek NL33RABO36336853244</t>
  </si>
  <si>
    <t>RABO rek NL46RABO0302755918  (1)</t>
  </si>
  <si>
    <t xml:space="preserve">*Te besteden voor tuin </t>
  </si>
  <si>
    <t>RABO rek NL55RABO3633685316</t>
  </si>
  <si>
    <t>*Te besteden voor algemene publieksact.</t>
  </si>
  <si>
    <t>*Reservering diversen</t>
  </si>
  <si>
    <t>*Te besteden voor tentoonstelling</t>
  </si>
  <si>
    <t>*Te besteden herinrichting ruimte</t>
  </si>
  <si>
    <t>*Te besteden 50 dingen boekje</t>
  </si>
  <si>
    <t>totaal</t>
  </si>
  <si>
    <t>Uitgaven /inkomsten 2016</t>
  </si>
  <si>
    <t>Uitgaven/inkomsten 2016</t>
  </si>
  <si>
    <t>geen</t>
  </si>
  <si>
    <t>50 dingen boekje</t>
  </si>
  <si>
    <t>saldo</t>
  </si>
  <si>
    <t>donatie</t>
  </si>
  <si>
    <t>Stichting Ronde Venen</t>
  </si>
  <si>
    <t>Rabo Dichtbij Fonds</t>
  </si>
  <si>
    <t>Basis onderwijs</t>
  </si>
  <si>
    <t>Donatie St. De Ronde Venen</t>
  </si>
  <si>
    <t>donatie stichting gebiedsontw. DRV</t>
  </si>
  <si>
    <t>Rotary Vinkeveen</t>
  </si>
  <si>
    <t>Donatie Rotary Vinkenveen</t>
  </si>
  <si>
    <t>Oranje Fonds/NL doet</t>
  </si>
  <si>
    <t>Donatie Oranje Fonds</t>
  </si>
  <si>
    <t>Herinrichting Ruimte</t>
  </si>
  <si>
    <t>zie eindafrekening PB CultF</t>
  </si>
  <si>
    <t>Subsidie Pr.Bernh.Cult.Fonds</t>
  </si>
  <si>
    <t>Totaal beschikbaar</t>
  </si>
  <si>
    <t>Uitgaven/projecten</t>
  </si>
  <si>
    <t>inkomsten</t>
  </si>
  <si>
    <t>uitgaven</t>
  </si>
  <si>
    <t>vrij beschikbaar</t>
  </si>
  <si>
    <t>*Rotary Vinkeveen</t>
  </si>
  <si>
    <t>*Stichting Doen/Oranjefonds</t>
  </si>
  <si>
    <t>opmerkingen</t>
  </si>
  <si>
    <t>restant nieuw tuinbord 183,23</t>
  </si>
  <si>
    <t>*Basisonderwijs/st. Ronde Venen fonds</t>
  </si>
  <si>
    <t>SC Johnson/ aanpassen tuin</t>
  </si>
  <si>
    <t>nr. 2</t>
  </si>
  <si>
    <t>nr.1</t>
  </si>
  <si>
    <t>nr.3</t>
  </si>
  <si>
    <t>nr.4</t>
  </si>
  <si>
    <t>nr.5</t>
  </si>
  <si>
    <t>nr.6</t>
  </si>
  <si>
    <t>nr.7</t>
  </si>
  <si>
    <t>nr.8</t>
  </si>
  <si>
    <t>nr.9</t>
  </si>
  <si>
    <t>nr.10</t>
  </si>
  <si>
    <t>nr.11</t>
  </si>
  <si>
    <t>Van Walravenfonds</t>
  </si>
  <si>
    <t>*25 jarig bestaan</t>
  </si>
  <si>
    <t>25 jarig bestaan</t>
  </si>
  <si>
    <t>Cael Mengermanfonds</t>
  </si>
  <si>
    <t>Creamore</t>
  </si>
  <si>
    <t>geen mutaties</t>
  </si>
  <si>
    <t>Declaratie A Woltman</t>
  </si>
  <si>
    <t>Jessicaas/20160077</t>
  </si>
  <si>
    <t>Stichting Buitenmakelaar/2016-lp-01</t>
  </si>
  <si>
    <t xml:space="preserve">sp.rek </t>
  </si>
  <si>
    <t>NL33 RABO 3633 6853 24</t>
  </si>
  <si>
    <t>Spaarrekening NL55 RABO 3633 6583 16</t>
  </si>
  <si>
    <t>spaarrekening</t>
  </si>
  <si>
    <t>nieuw tuinbord 316,73 restant tuin</t>
  </si>
  <si>
    <t>bankkosten en rente 7,78</t>
  </si>
  <si>
    <t>Diner Cards proj.gr. Leden</t>
  </si>
  <si>
    <t>Ecodrukkers</t>
  </si>
  <si>
    <t>De grote Sniep</t>
  </si>
  <si>
    <t>present 50 dingen boekje</t>
  </si>
  <si>
    <t>totaal uitgaven</t>
  </si>
  <si>
    <t>Vrij besteedbaar</t>
  </si>
  <si>
    <t>nr 12</t>
  </si>
  <si>
    <t>NME WOUDREUS</t>
  </si>
  <si>
    <t>Loyals om line</t>
  </si>
  <si>
    <t>Declaratie Ester</t>
  </si>
  <si>
    <t>Heutink</t>
  </si>
  <si>
    <t>Gebiedscommissie</t>
  </si>
  <si>
    <t>.. -11-2016</t>
  </si>
  <si>
    <t>diversen/Walraven 2500,-/KarlNenger.1500,-/gebiedscom 10.000 en 950</t>
  </si>
  <si>
    <t>negatief vermogen 31 dec 2015</t>
  </si>
  <si>
    <t>Saldo 1 dec 2016</t>
  </si>
  <si>
    <t>Tot. Inkomsten 2016  tot 1 dec 2016</t>
  </si>
  <si>
    <t>Saldo 1 dec  2016</t>
  </si>
  <si>
    <t>stimuler.bijdr NME ODRU</t>
  </si>
  <si>
    <t>bijdrage leskist water,etc, ODRU</t>
  </si>
  <si>
    <t>Afsluitend etentje C.v.Kruysbergen</t>
  </si>
  <si>
    <t>Jessica,s 20160083</t>
  </si>
  <si>
    <t>totaal uitgaven tot 20 dec 2016</t>
  </si>
  <si>
    <t>Financieel overzicht per</t>
  </si>
  <si>
    <t>per</t>
  </si>
  <si>
    <t>gereserveerd</t>
  </si>
  <si>
    <t>tot</t>
  </si>
  <si>
    <t>Banksaldi per</t>
  </si>
  <si>
    <t>vrije ruimte</t>
  </si>
  <si>
    <t>verkoop 50 dingenboekje</t>
  </si>
  <si>
    <t>RABO rek NL55RABO3633685316 (2)</t>
  </si>
  <si>
    <t>(2) inclusief 445,- verkoop totaal 8153,31</t>
  </si>
  <si>
    <t>(1) verkoop 50 dingen boekje 445,-</t>
  </si>
  <si>
    <t>Stichting Vrienden van het Natuur en Milieu Educatief Centrum De Ronde Venen</t>
  </si>
  <si>
    <t>ingebracht in vergadering van 15 februari 2017</t>
  </si>
  <si>
    <t xml:space="preserve">planning maken </t>
  </si>
  <si>
    <t>Balans per 31 december 2016</t>
  </si>
  <si>
    <t>om budgetten</t>
  </si>
  <si>
    <t>Activa</t>
  </si>
  <si>
    <t>Passiva</t>
  </si>
  <si>
    <t>Inkomsten</t>
  </si>
  <si>
    <t>Uitgaven</t>
  </si>
  <si>
    <t>te besteden</t>
  </si>
  <si>
    <t>RABO rek NL46RABO0302755918  1)</t>
  </si>
  <si>
    <t>*Te besteden voor Educatieve tuin</t>
  </si>
  <si>
    <t>donateurs</t>
  </si>
  <si>
    <t>ABN AMRO rek 85.45.51.123</t>
  </si>
  <si>
    <t>*Te besteden voor herinr NME ruimte</t>
  </si>
  <si>
    <t xml:space="preserve">            p.m.</t>
  </si>
  <si>
    <t>ABN AMRO spaarrekenig 97.51.95.352</t>
  </si>
  <si>
    <t>*Reservering 50 dingen boekje</t>
  </si>
  <si>
    <t>(3) is toegezegd (rekening indienen)</t>
  </si>
  <si>
    <t>Winst- en verliesrekening 2016</t>
  </si>
  <si>
    <t>(4) streefbedrag is 8500/garantstelling</t>
  </si>
  <si>
    <t>Donaties vrienden</t>
  </si>
  <si>
    <t>Aanpassingen Educatieve tuin</t>
  </si>
  <si>
    <t>Themamiddagen/algemene publieksacties</t>
  </si>
  <si>
    <t>Donatie IVN Ronde Venen</t>
  </si>
  <si>
    <t>Subsidie KfHeinfonds</t>
  </si>
  <si>
    <t>Rente spaarrekening</t>
  </si>
  <si>
    <t>Diversen/representatie</t>
  </si>
  <si>
    <t>Donatie Ronde Venen Fonds</t>
  </si>
  <si>
    <t>Saldo 2016</t>
  </si>
  <si>
    <t>Saldo 2015</t>
  </si>
  <si>
    <t>saldo 2014</t>
  </si>
  <si>
    <t>bank: RABO BANK te Mijdrecht NL46 RABO 0302 7559 18</t>
  </si>
  <si>
    <t>De stichting is opgenomen in het stichtingsregister van de Kamer van Koophandel te Utrecht onder dossiernummer 41186354</t>
  </si>
  <si>
    <t>JAARREKENING 2016</t>
  </si>
  <si>
    <t>*Tuinwerkgroep</t>
  </si>
  <si>
    <t xml:space="preserve">Vermogen (vrij besteedbaar) </t>
  </si>
  <si>
    <t>Totaal</t>
  </si>
  <si>
    <t>1 en 4</t>
  </si>
  <si>
    <t>Subsidies 50 dingen boekje 1)</t>
  </si>
  <si>
    <t>1) specificatie in tabblad projecten</t>
  </si>
  <si>
    <t>Donatie Johnson 10 jarig bestaan</t>
  </si>
  <si>
    <t>Tuinwerkgroep</t>
  </si>
  <si>
    <t>diversen/bankkosten</t>
  </si>
  <si>
    <t>Begroting 2017</t>
  </si>
  <si>
    <t xml:space="preserve"> RABO rek NL33RABO3633685324</t>
  </si>
  <si>
    <t>fondswerving 25 jarig bestaan</t>
  </si>
  <si>
    <t xml:space="preserve">RABO rek NL46RABO0302755918 </t>
  </si>
  <si>
    <t>Bijdrage ODRU tentoonstelling (1)</t>
  </si>
  <si>
    <t>afboeking negatief saldo</t>
  </si>
  <si>
    <t>Totaal uitgaven</t>
  </si>
  <si>
    <t>Totaal inkomsten</t>
  </si>
  <si>
    <t>Div kosten/ decl Overgaag</t>
  </si>
  <si>
    <t>0,01 overschrijding</t>
  </si>
  <si>
    <t>Bijdrage ODRU</t>
  </si>
  <si>
    <t>*Ontwikkeling NME (1)</t>
  </si>
  <si>
    <t xml:space="preserve">subtotaal </t>
  </si>
  <si>
    <t>(1) bijdrage is op 25 januari 2017 ontvangen</t>
  </si>
  <si>
    <t>Stimulering NME</t>
  </si>
  <si>
    <t>Voorschot Restaurant Jess (High Tea vrijwilligers)</t>
  </si>
  <si>
    <t>Afrekening High Tea</t>
  </si>
  <si>
    <t>Stichting Bovenlanden</t>
  </si>
  <si>
    <t>naar dekking bankkosten (verg 15-02)</t>
  </si>
  <si>
    <t>naar 25 jarig jubileum</t>
  </si>
  <si>
    <t>overboeking nr. 5 tentoonstelling</t>
  </si>
  <si>
    <t>Overboeking nr 5 besl verg 15-02</t>
  </si>
  <si>
    <t>Overboeking naar nr 4 bankkosten</t>
  </si>
  <si>
    <t>Saldo  afgesloten</t>
  </si>
  <si>
    <t xml:space="preserve">overboeking restant nr 3 </t>
  </si>
  <si>
    <t>overboeking rente 50 dingenboekje</t>
  </si>
  <si>
    <t>doorboeking rente (vergad 15 febr.)</t>
  </si>
  <si>
    <t>Saldo (afgesloten per 21 maart 2017)</t>
  </si>
  <si>
    <t>aanvulling saldo bankkost.(verg 15-2)</t>
  </si>
  <si>
    <t xml:space="preserve">vereffening saldo nr </t>
  </si>
  <si>
    <t>totaal  inkomsten</t>
  </si>
  <si>
    <t>A</t>
  </si>
  <si>
    <t>klusjesman/Anouk Andreae</t>
  </si>
  <si>
    <t>Ans Heemskerk BSO workshop</t>
  </si>
  <si>
    <t>Anouk Andreae BSO workshop</t>
  </si>
  <si>
    <t>TOF Lunchroom</t>
  </si>
  <si>
    <t>DonatieSt. Ronde Venen</t>
  </si>
  <si>
    <t>De Groene Venen</t>
  </si>
  <si>
    <t>Kraakhelder/voorst.boswachter</t>
  </si>
  <si>
    <t>Martin van Rooijen/wordkshop risicospel</t>
  </si>
  <si>
    <t>Boeket Ineke Bams/voorsc Ester Overgaag</t>
  </si>
  <si>
    <t>Jessicaas</t>
  </si>
  <si>
    <t xml:space="preserve"> fat nr 20170031</t>
  </si>
  <si>
    <t>Polderwachter Marcel Blekendaal</t>
  </si>
  <si>
    <t>Voorschot Anouk  Plantjes Lau</t>
  </si>
  <si>
    <t>Izettle  reader</t>
  </si>
  <si>
    <t>Don. Biotrading</t>
  </si>
  <si>
    <t>Don. Handelsonderneming Brouwer</t>
  </si>
  <si>
    <t>Don. Omgevingsdienst</t>
  </si>
  <si>
    <t>Kraakhelder/voorst.boswachter/laatste term</t>
  </si>
  <si>
    <t>Inkomsten 2017</t>
  </si>
  <si>
    <t>uitgaven 2017</t>
  </si>
  <si>
    <t>RABO rek NL33RABO3633685324 sp.rek. tuin</t>
  </si>
  <si>
    <t>RABO rek NL55RABO3633685316 sp.rek. 50 dingen boekje</t>
  </si>
  <si>
    <t>RABO rek NL46RABO0302755918 rek courant</t>
  </si>
  <si>
    <t>klopt</t>
  </si>
  <si>
    <t>inkomsten 2017</t>
  </si>
  <si>
    <t>Vedema Verhuur</t>
  </si>
  <si>
    <t>Jenneke van Wijngaarden</t>
  </si>
  <si>
    <t>Bureau wijkwiskunde</t>
  </si>
  <si>
    <t>Feuer en Flamme Flammkuchen</t>
  </si>
  <si>
    <t>Jumbo door Ans voorgeschoten</t>
  </si>
  <si>
    <t>Fons Spijer/voorgesch Conny</t>
  </si>
  <si>
    <t>Natural Bulbs voorschot Conny</t>
  </si>
  <si>
    <t>Fons Tuithof Martkkramen</t>
  </si>
  <si>
    <t>A.G.M. de Kruijf</t>
  </si>
  <si>
    <t>Reinaerde</t>
  </si>
  <si>
    <t>Slijterij Vreeland</t>
  </si>
  <si>
    <t>De Brediusschuur</t>
  </si>
  <si>
    <t xml:space="preserve">Donatie Walraven </t>
  </si>
  <si>
    <t>verkoop 50 dingen boekje</t>
  </si>
  <si>
    <t>Conny workshop risicospel</t>
  </si>
  <si>
    <t>Vrijwillegers feest Heerewaarden</t>
  </si>
  <si>
    <t>reserveringen gesaldeerd</t>
  </si>
  <si>
    <t>5IPADs BBC bet aan Conny v Kruijsbergen</t>
  </si>
  <si>
    <t>5 IPAD hoezen bet aan Conny v Kruijsbergn</t>
  </si>
  <si>
    <t>NME vDijk Nijhof fonds</t>
  </si>
  <si>
    <t>JAARREKENING 2017</t>
  </si>
  <si>
    <t>Balans per 31 december 2017</t>
  </si>
  <si>
    <t>Begroting 2018</t>
  </si>
  <si>
    <t>Winst- en verliesrekening 2017</t>
  </si>
  <si>
    <t xml:space="preserve">RABO rek NL46RABO0302755918  </t>
  </si>
  <si>
    <t>fondswerving</t>
  </si>
  <si>
    <t>* Ronde Venen Fonds (Basisonderwijs  nr 8)</t>
  </si>
  <si>
    <t>Uitgaven/inkomsten 2017</t>
  </si>
  <si>
    <t>* 25 jarig bestaan (Uitbetaling toegezegde bijdragen)</t>
  </si>
  <si>
    <t xml:space="preserve">1) in RABO rek NL46RABO0302755918 is een bedrag </t>
  </si>
  <si>
    <t xml:space="preserve">  van   1.315,55 gereserveerd voor 25 jarig bestaan</t>
  </si>
  <si>
    <t>3000,- is verwachte susbsidie Ronde Venen Fonds</t>
  </si>
  <si>
    <t>Totaal inkomsten 25 jarig bestaan</t>
  </si>
  <si>
    <t>voorziening 25 jarig bestaan</t>
  </si>
  <si>
    <t>Totaal inkomsten 2017</t>
  </si>
  <si>
    <t>totaal uitgaven 2017</t>
  </si>
  <si>
    <t>Ontwikelng NME</t>
  </si>
  <si>
    <t>Uitgaven 2017</t>
  </si>
  <si>
    <t>Totaal uitgaven 2017</t>
  </si>
  <si>
    <t>Herinrichting ruimte</t>
  </si>
  <si>
    <t>Saldo 2017/ Verlies</t>
  </si>
  <si>
    <t>Saldo 2016/winst</t>
  </si>
  <si>
    <t>vrij besteedbaar</t>
  </si>
  <si>
    <t>saldo te besteden voor bankkosten per 31 dec 2017 (kolom H)</t>
  </si>
  <si>
    <t>saldo herinrichting ruimte per 31 dec 2017 kolom H)</t>
  </si>
  <si>
    <t>saldo 50 dingen boekje (kolom H) saldo rekening ….16</t>
  </si>
  <si>
    <t>saldo te besteden per 31 dec 2017 (kolom H)</t>
  </si>
  <si>
    <t>saldo 25 jarig bestaan per 31 dec 2017 (zie kolom H)</t>
  </si>
  <si>
    <t>saldo ontwikkeling NME per 31 dec 2017 (zie kolom H)</t>
  </si>
  <si>
    <t>vrij beschikbare ruimte per 31 dec 2017 (zie kolom G)</t>
  </si>
  <si>
    <t>Totaal beschikbaar 1)</t>
  </si>
  <si>
    <t>vrij te besteden budget per 31 dec 2017</t>
  </si>
  <si>
    <t>inkomsten 2018 rente donateurs</t>
  </si>
  <si>
    <t>Vrij te besteden 2018</t>
  </si>
  <si>
    <t>controle vrij te besteden budget 2018</t>
  </si>
  <si>
    <t>15.664,05 zijn geraamde uitgaven voor 2018</t>
  </si>
  <si>
    <t>via rek 18  bon bij 24</t>
  </si>
  <si>
    <t>wisselpost 18</t>
  </si>
  <si>
    <t>wisselpost  18</t>
  </si>
  <si>
    <t>bankafschr 10</t>
  </si>
  <si>
    <t>zie bank boek.</t>
  </si>
  <si>
    <t>bank</t>
  </si>
  <si>
    <t>bon aanwezig</t>
  </si>
  <si>
    <t>wisselpost bankkosten</t>
  </si>
  <si>
    <t>per bank betaald</t>
  </si>
  <si>
    <t xml:space="preserve">wisselpost </t>
  </si>
  <si>
    <t>wisselpost intern</t>
  </si>
  <si>
    <t>wisselost intern</t>
  </si>
  <si>
    <t>wisselpost intern /nr 4</t>
  </si>
  <si>
    <t>bank wisselpost nr 16</t>
  </si>
  <si>
    <t>zie bon</t>
  </si>
  <si>
    <t>ziebon</t>
  </si>
  <si>
    <t>bank zie bon</t>
  </si>
  <si>
    <t>bank/wisselpost</t>
  </si>
  <si>
    <t>Uitzoeken</t>
  </si>
  <si>
    <t>2,43 bij op 8-9 IZETTLE</t>
  </si>
  <si>
    <t>58,35 bij op 20-09-IZETTLE</t>
  </si>
  <si>
    <t>zie factuur</t>
  </si>
  <si>
    <t>Izettle</t>
  </si>
  <si>
    <t>aanpassing concept rekening</t>
  </si>
  <si>
    <t>zie bon jessicas 4-2-2017</t>
  </si>
  <si>
    <t>Definitieve jaarrekening 2017</t>
  </si>
  <si>
    <t>electronisch</t>
  </si>
  <si>
    <t>onderdeel 233,67/vliegermateriaal 50 dingenb/Jumbo op post feest</t>
  </si>
  <si>
    <t xml:space="preserve">electronisch </t>
  </si>
  <si>
    <t>overig</t>
  </si>
  <si>
    <t>25 j best</t>
  </si>
  <si>
    <t>25 jarig best</t>
  </si>
  <si>
    <t>idem</t>
  </si>
  <si>
    <t>deze 3 post een mail</t>
  </si>
  <si>
    <t>25 best</t>
  </si>
  <si>
    <t>check bonnen en electronische bonnen/dig rek 2017</t>
  </si>
  <si>
    <t>Overzichten projecten 2018</t>
  </si>
  <si>
    <t>Uitgaven 2018</t>
  </si>
  <si>
    <t>Inkomsten 2018</t>
  </si>
  <si>
    <t>totaal uitgaven 2018</t>
  </si>
  <si>
    <t>totaal inkomsten 2018</t>
  </si>
  <si>
    <t>nr 10</t>
  </si>
  <si>
    <t>Buiten Ruimte</t>
  </si>
  <si>
    <t>InSTOCK</t>
  </si>
  <si>
    <t>St.Ronde Venen Fonds</t>
  </si>
  <si>
    <t>De Ronde Venen</t>
  </si>
  <si>
    <t>Stichting Design Works</t>
  </si>
  <si>
    <t>ODRU   2018 0176  /2017-2018</t>
  </si>
  <si>
    <t>ODRU   2018  0177  /2018-2019</t>
  </si>
  <si>
    <t>electronisch fin 2018</t>
  </si>
  <si>
    <t>Don St DRV Fonds</t>
  </si>
  <si>
    <t>bankafschrift</t>
  </si>
  <si>
    <t>electr bon</t>
  </si>
  <si>
    <t>electronische bon</t>
  </si>
  <si>
    <t xml:space="preserve">elect bon </t>
  </si>
  <si>
    <t>bankafschtrift</t>
  </si>
  <si>
    <t>Anouk kooprijk vogelhuisjes voorschot</t>
  </si>
  <si>
    <t>Kraakhelder Boswachter Beer voorstelling</t>
  </si>
  <si>
    <t>check</t>
  </si>
  <si>
    <t>resume</t>
  </si>
  <si>
    <t>tot inkomsten</t>
  </si>
  <si>
    <t>tot uitgaven</t>
  </si>
  <si>
    <t>Polderwachter Marcel Blekendaal 2512237</t>
  </si>
  <si>
    <t>Anouk goedkoopste kant artikelen 34902</t>
  </si>
  <si>
    <t>Anouk Kunstlokaal 2018616</t>
  </si>
  <si>
    <t>Dagmar Schaik Garaphics Disign nr 01160</t>
  </si>
  <si>
    <t>Ans Heemskerk voorschot bonnen volgen</t>
  </si>
  <si>
    <t>Jessicaas nr. 2018 0039</t>
  </si>
  <si>
    <t>besluit bestuur 18.07.18 aanwenden voor 25 jarig bestaan voor tuin</t>
  </si>
  <si>
    <t>Jeanette van Wijngaarden workshop</t>
  </si>
  <si>
    <t>Kraakhelder 56-2018</t>
  </si>
  <si>
    <t>IZETTLE</t>
  </si>
  <si>
    <t>Bredius 2018 MB3 3 doz fruitsap</t>
  </si>
  <si>
    <t>Polderwachter Marcel Blekendaal 2512258</t>
  </si>
  <si>
    <t>Hubo voorschot Annouk</t>
  </si>
  <si>
    <t>bon</t>
  </si>
  <si>
    <t>Formidable Crepes 201825 50 dingenfeest</t>
  </si>
  <si>
    <t>overheveling saldo 25 jarig bstaan/tuin</t>
  </si>
  <si>
    <t>overheveling saldo 25 jarig best. Tuin</t>
  </si>
  <si>
    <t>electron bon</t>
  </si>
  <si>
    <t>Buitenruimte 201860</t>
  </si>
  <si>
    <t>Kofiemachine ODRU 10712/20180782</t>
  </si>
  <si>
    <t>electr rek</t>
  </si>
  <si>
    <t>JAARREKENING 2018</t>
  </si>
  <si>
    <t>Balans per 31 december 2018</t>
  </si>
  <si>
    <t>Winst- en verliesrekening 2018</t>
  </si>
  <si>
    <t>Saldo 2018/Verlies</t>
  </si>
  <si>
    <t>controle</t>
  </si>
  <si>
    <t>Toegezegde bijdragen</t>
  </si>
  <si>
    <t>Begroting 2019</t>
  </si>
  <si>
    <t>1) uitbetalingtoegezegde bijdragen (KF Heinf 3000/Pr.Bernh CF 1000/ Johnson 1000)</t>
  </si>
  <si>
    <t>2) nader invullen</t>
  </si>
  <si>
    <t>a)</t>
  </si>
  <si>
    <t>a) 1000 greserveerd voor tuin</t>
  </si>
  <si>
    <t>Overzichten projecten 2019</t>
  </si>
  <si>
    <t>Afgesloten in 2017</t>
  </si>
  <si>
    <t>Afgesloten in 2018</t>
  </si>
  <si>
    <t>Saldo 31-12-2017</t>
  </si>
  <si>
    <t>afgesloten 31 december 2017</t>
  </si>
  <si>
    <t>Uitgaven 2019</t>
  </si>
  <si>
    <t>totaal uitgaven 2019</t>
  </si>
  <si>
    <t>Inkomsten 2019</t>
  </si>
  <si>
    <t>Totaal inkomsten 2019</t>
  </si>
  <si>
    <t>Prins Bernhard Cultuurfonds</t>
  </si>
  <si>
    <t>Boom en Co P310313</t>
  </si>
  <si>
    <t>bankafschr</t>
  </si>
  <si>
    <t>elect rek 25 jar best</t>
  </si>
  <si>
    <t>KF Heinfonds</t>
  </si>
  <si>
    <t>totaal inkomsten 2019</t>
  </si>
  <si>
    <t>* 25 jarig bestaan KF Heinf (3000) Prinsberh Cultf (1000))</t>
  </si>
  <si>
    <t>Johnson 1000,- nog te ontvangen</t>
  </si>
  <si>
    <t>geboekt naar lopende rekening</t>
  </si>
  <si>
    <t>ontvangen uit rek 50 dingenboekje</t>
  </si>
  <si>
    <t>zal worden overgeboekt aan ODRU</t>
  </si>
  <si>
    <t xml:space="preserve">Rabo dichtbijfonds e.a. </t>
  </si>
  <si>
    <t>Walravenfonds (nog te ontvangen)</t>
  </si>
  <si>
    <t>komt in 2019 donatie van DRV fonds</t>
  </si>
  <si>
    <t>totaal budget</t>
  </si>
  <si>
    <t>Roodkapje</t>
  </si>
  <si>
    <t>Rabo dichtbijfonds</t>
  </si>
  <si>
    <t>toegezegd (mail Margreet)</t>
  </si>
  <si>
    <t>DRV /ODRU</t>
  </si>
  <si>
    <t>Conny onderneemt ctie</t>
  </si>
  <si>
    <t>totaal kosten (2 sessies)</t>
  </si>
  <si>
    <t>handhaven komt dit jaar mogelijk een donatie van …………</t>
  </si>
  <si>
    <t>nieuw project 2019</t>
  </si>
  <si>
    <t>post afgesloten in 2018/best besl 5-2-2019</t>
  </si>
  <si>
    <t>post afgesloten in 2017/best besl 5-2-2019</t>
  </si>
  <si>
    <t>Tot. Besch.b.</t>
  </si>
  <si>
    <t>concept jaarrekening 2018 vastgesteld door Bestuur op 5 februari 2019</t>
  </si>
  <si>
    <t>overheveling saldo 25 jarig bestaan/tuin</t>
  </si>
  <si>
    <t>post open houden voor tuinwerkgroep</t>
  </si>
  <si>
    <t>zie bankafschrift</t>
  </si>
  <si>
    <t>bankafschrift/electronisch fin 2018</t>
  </si>
  <si>
    <t>bankafschrift/electronisch fin 2019</t>
  </si>
  <si>
    <t>electronisch bon</t>
  </si>
  <si>
    <t>donatie  Bolton ontwikkeling</t>
  </si>
  <si>
    <t>donatie SC Johnson 2e druk</t>
  </si>
  <si>
    <t>donatie van Walraven 2e druk</t>
  </si>
  <si>
    <t>donatie Spelt 2e druk</t>
  </si>
  <si>
    <t>don St.Ronde Venen fonds 2e druk</t>
  </si>
  <si>
    <t xml:space="preserve">don. RABO </t>
  </si>
  <si>
    <t>f</t>
  </si>
  <si>
    <t>Johnson (correctie boek 50 ding boekje</t>
  </si>
  <si>
    <t>groenpand lesk elektriciteit</t>
  </si>
  <si>
    <t>gezond Wilnis veenzijde vastgoed</t>
  </si>
  <si>
    <t>Jessicaas nr 201900292</t>
  </si>
  <si>
    <t>x</t>
  </si>
  <si>
    <t>Vliegeniersbedr de Paddenstoel 15758</t>
  </si>
  <si>
    <t>NatuurVerhuur Roodkapje tent.</t>
  </si>
  <si>
    <t>IZettle</t>
  </si>
  <si>
    <t>Jessicaas Ontwerp</t>
  </si>
  <si>
    <t>Kraakhelder 59-2019</t>
  </si>
  <si>
    <t>Conny vn Kruijsbergen kas</t>
  </si>
  <si>
    <t>Totaal uitgaven 2019</t>
  </si>
  <si>
    <t xml:space="preserve">Saldo </t>
  </si>
  <si>
    <t>Inkomsten 2019 50 dingen boekje</t>
  </si>
  <si>
    <t>Inkomsten 2019 Basisonderwijs</t>
  </si>
  <si>
    <t>Inkomsten 2019 25 jarig bestaan</t>
  </si>
  <si>
    <t>Inkomsten 2018 25 jarig bestaan</t>
  </si>
  <si>
    <t>Inkomsten 2019 Stimulering NME</t>
  </si>
  <si>
    <t>activiteiten natuur recreatief</t>
  </si>
  <si>
    <t>correctie op 3500 van Johnson op 17 juni 2019</t>
  </si>
  <si>
    <t>tot 3500 waarvan 1000 voor 25 jarig bestaan</t>
  </si>
  <si>
    <t>correctie Johnson deel 25 jarig bestaan</t>
  </si>
  <si>
    <t>Rabo dichtbij fonds</t>
  </si>
  <si>
    <t>correctie naar 25 jarig bestaan</t>
  </si>
  <si>
    <t>don prov Utrecht</t>
  </si>
  <si>
    <t>Gemeente De Ronde Venen</t>
  </si>
  <si>
    <t>cor 50 dingen boekje omschrijving foutif</t>
  </si>
  <si>
    <t>restant correctie DRV 50 db tot 5000</t>
  </si>
  <si>
    <t>don gem De ronde Venen restant</t>
  </si>
  <si>
    <t>don. Provincie Utrecht (foutieve omschr.)</t>
  </si>
  <si>
    <t>correctie basisonderwijs</t>
  </si>
  <si>
    <t>foutieve boeking zie onder</t>
  </si>
  <si>
    <t>saldo 25 jarig bestaan</t>
  </si>
  <si>
    <t>project 25 jarig bestaan afsluiten</t>
  </si>
  <si>
    <t>besluit Best 4 nov 2019</t>
  </si>
  <si>
    <t>overboeking naar bankkosten nr. 4</t>
  </si>
  <si>
    <t>besluit bestuur 4 nov</t>
  </si>
  <si>
    <t>naar diversen nr.4</t>
  </si>
  <si>
    <t>Vedama Verhuur  2019386</t>
  </si>
  <si>
    <t>Jessicaas ontwerp 20190049</t>
  </si>
  <si>
    <t>12 dec 2018 Izettle</t>
  </si>
  <si>
    <t>wisselpost</t>
  </si>
  <si>
    <t>Retour boeking Vedema Verhuur</t>
  </si>
  <si>
    <t>cor. prov Utrecht naar 50 dingen boekje</t>
  </si>
  <si>
    <t>rest. correctie Gem. DRV maar 50 dingenboekje</t>
  </si>
  <si>
    <t>cor. uit post Basisonderwijs</t>
  </si>
  <si>
    <t>JAARREKENING 2019</t>
  </si>
  <si>
    <t>Balans per 31 december 2019</t>
  </si>
  <si>
    <t>Winst- en verliesrekening 2019</t>
  </si>
  <si>
    <t>Begroting 2020</t>
  </si>
  <si>
    <t>Izetlle</t>
  </si>
  <si>
    <t>nr14</t>
  </si>
  <si>
    <t>nr 13</t>
  </si>
  <si>
    <t>Saldo 2019/winst</t>
  </si>
  <si>
    <t>RABO rek NL33RABO3633685324</t>
  </si>
  <si>
    <t>werving 2019</t>
  </si>
  <si>
    <t>fondswerving 2020</t>
  </si>
  <si>
    <t>nader in te vullen</t>
  </si>
  <si>
    <t>p.m.</t>
  </si>
  <si>
    <t>Overzichten projecten 2020</t>
  </si>
  <si>
    <t>Uitgaven 2020</t>
  </si>
  <si>
    <t>totaal uitgaven 2020</t>
  </si>
  <si>
    <t>Inkomsten 2020</t>
  </si>
  <si>
    <t>totaal inkomsten 2020</t>
  </si>
  <si>
    <t>Totaal inkomsten 2020</t>
  </si>
  <si>
    <t>Totaal uitgaven 2020</t>
  </si>
  <si>
    <t>Uitgaven  2020</t>
  </si>
  <si>
    <t>Rotary Vinkenveen</t>
  </si>
  <si>
    <t>besluit best 4 nov naar nr 4</t>
  </si>
  <si>
    <t>project 25 jarig bestaan is afgesloten per 15 nov 2019</t>
  </si>
  <si>
    <t>vrij beschikbare ruimte per 31 dec 2019</t>
  </si>
  <si>
    <t>kosten present 2e druk 50 dingen boekje</t>
  </si>
  <si>
    <t>concept ter goedkeuring van het bestuur  31 januari 2020</t>
  </si>
  <si>
    <t>Uitgaven (beschikbaar)</t>
  </si>
  <si>
    <t>De Toekomst drukkosten fnr. 406224</t>
  </si>
  <si>
    <t>Brediusschuur 2020MB4</t>
  </si>
  <si>
    <t>Creamore 202011</t>
  </si>
  <si>
    <t>verkoop 2 boekjes</t>
  </si>
  <si>
    <t>Izetttle</t>
  </si>
  <si>
    <t>NME Bredius 2020MB6</t>
  </si>
  <si>
    <t xml:space="preserve">Tringa Paintings nr 20201069 </t>
  </si>
  <si>
    <t>Jessicaas nr 20200034</t>
  </si>
  <si>
    <t>17 sept 202</t>
  </si>
  <si>
    <t>Kraakhelder 53-2020</t>
  </si>
  <si>
    <t>vermogen</t>
  </si>
  <si>
    <t>toegevoegd aan vermogen</t>
  </si>
  <si>
    <t>Afgesloten in 2020</t>
  </si>
  <si>
    <t>saldo tuinwerkgroep</t>
  </si>
  <si>
    <t>nr1</t>
  </si>
  <si>
    <t>nr4</t>
  </si>
  <si>
    <t>nr9</t>
  </si>
  <si>
    <t>toevoeging aan vermogen</t>
  </si>
  <si>
    <t>reservering diversen</t>
  </si>
  <si>
    <t>stichting doen</t>
  </si>
  <si>
    <t>toevoeging aan reserve</t>
  </si>
  <si>
    <t>afgesloten 8 okt 2020</t>
  </si>
  <si>
    <t>besluit bestuur 8 okt 2020</t>
  </si>
  <si>
    <t>aangepast besluit bestuur 8 okt 2020</t>
  </si>
  <si>
    <t>Vermogen</t>
  </si>
  <si>
    <t>toevoegingen 2020</t>
  </si>
  <si>
    <t>totaal toevoegingen 2020</t>
  </si>
  <si>
    <t>ontrekkingen 2020</t>
  </si>
  <si>
    <t>afgesl 8-10-2020</t>
  </si>
  <si>
    <t>nr6</t>
  </si>
  <si>
    <t>herinricht buitenruimte</t>
  </si>
  <si>
    <t>Anouk Andrea vooorschot 50 dingenb</t>
  </si>
  <si>
    <t>Tuithof verhuur tenten</t>
  </si>
  <si>
    <t>Conny van Kruysbergen kas</t>
  </si>
  <si>
    <t>Stichting vrienden van</t>
  </si>
  <si>
    <t>Rabo supportersclub</t>
  </si>
  <si>
    <t>JAARREKENING 2020</t>
  </si>
  <si>
    <t>concept ter goedkeuring van het bestuur  28 januari 2021</t>
  </si>
  <si>
    <t>Balans per 31 december 2020</t>
  </si>
  <si>
    <t>negatief saldo kas</t>
  </si>
  <si>
    <t>nr 9</t>
  </si>
  <si>
    <t>Sticht Doen Oranjefonds</t>
  </si>
  <si>
    <t>Saldo verlies 2020</t>
  </si>
  <si>
    <t>nr 6</t>
  </si>
  <si>
    <t>toename vermogen</t>
  </si>
  <si>
    <t>Overzichten projecten 2021</t>
  </si>
  <si>
    <t>nr 1</t>
  </si>
  <si>
    <t>totaal uitgaven 2021</t>
  </si>
  <si>
    <t>uitgaven 2021</t>
  </si>
  <si>
    <t>inkomsten 2021</t>
  </si>
  <si>
    <t>Totaal inkomsten 2021</t>
  </si>
  <si>
    <t>IZETTLE (kas Conny)</t>
  </si>
  <si>
    <t>te goed kas Conny</t>
  </si>
  <si>
    <t>toevoegingen 2021</t>
  </si>
  <si>
    <t>ontrekkingen 2021</t>
  </si>
  <si>
    <t>Conny van Kruijsbergen</t>
  </si>
  <si>
    <t>aanvulling uit reserves</t>
  </si>
  <si>
    <t>aanvulling bankkosten</t>
  </si>
  <si>
    <t>Reservering diversen bankkosten</t>
  </si>
  <si>
    <t>Anouk Andrea kleine kas</t>
  </si>
  <si>
    <t>Donatie Veenhartkerk</t>
  </si>
  <si>
    <t>Verrek. 2 boekjes/Anouk Andrae</t>
  </si>
  <si>
    <t>4-5 2021</t>
  </si>
  <si>
    <t>retourboeking naar Izettle</t>
  </si>
  <si>
    <t>wiselpost</t>
  </si>
  <si>
    <t>50 dingenboekje verrek. Anouk</t>
  </si>
  <si>
    <t xml:space="preserve">verrekenpost </t>
  </si>
  <si>
    <t>verk 4 tasjes</t>
  </si>
  <si>
    <t>verk 1 tasje</t>
  </si>
  <si>
    <t>van 50 dingenboekje wisselpost</t>
  </si>
  <si>
    <t>ink 50 dingenboekje</t>
  </si>
  <si>
    <t>Walraven holding donatie</t>
  </si>
  <si>
    <t>ODRU 10712 bijdrage Boswachter Beer</t>
  </si>
  <si>
    <t>bankosten</t>
  </si>
  <si>
    <t>ODRU microsc en bolderk</t>
  </si>
  <si>
    <t>Krk helder</t>
  </si>
  <si>
    <t>6-10 2021</t>
  </si>
  <si>
    <t xml:space="preserve">RV Hol </t>
  </si>
  <si>
    <t>Kraakhelder</t>
  </si>
  <si>
    <t>ink Izettle</t>
  </si>
  <si>
    <t>Bijdrage RABO clubsupport</t>
  </si>
  <si>
    <t>Raifaissenbank donatie</t>
  </si>
  <si>
    <t>JAARREKENING 2021</t>
  </si>
  <si>
    <t>concept ter goedkeuring van het bestuur 18 januari 2022</t>
  </si>
  <si>
    <t>Balans per 31 december 2021</t>
  </si>
  <si>
    <t>Winst- en verliesrekening 2021</t>
  </si>
  <si>
    <t>geen inkomsten</t>
  </si>
  <si>
    <t>saldo winst 2021</t>
  </si>
  <si>
    <t>saldo verlies 2020</t>
  </si>
  <si>
    <t>Nader te bestemmen</t>
  </si>
  <si>
    <t>vrij te besteden</t>
  </si>
  <si>
    <t>nader te bestemmen</t>
  </si>
  <si>
    <t>rekening aanwezig</t>
  </si>
  <si>
    <t>Overzichten projecten 2022</t>
  </si>
  <si>
    <t>uitgaven 2022</t>
  </si>
  <si>
    <t xml:space="preserve"> januari  2022</t>
  </si>
  <si>
    <t>totaal uitgaven 2022</t>
  </si>
  <si>
    <t>inkomsten 2022</t>
  </si>
  <si>
    <t>Totaal inkomsten 2022</t>
  </si>
  <si>
    <t>toevoegingen 2022</t>
  </si>
  <si>
    <t>ontrekkingen 2022</t>
  </si>
  <si>
    <t>rente 2021</t>
  </si>
  <si>
    <t>Evitos KvK</t>
  </si>
  <si>
    <t>Anouk Andrea</t>
  </si>
  <si>
    <t>ODRU</t>
  </si>
  <si>
    <t xml:space="preserve"> Izettle m.i.v. 23 mei 2022 gekoppeld aan rekening van ODRU</t>
  </si>
  <si>
    <t>post afgesloten</t>
  </si>
  <si>
    <t>ODRU rek 10712 bijdr kriebelbeestjes</t>
  </si>
  <si>
    <t>C Timmerman F2241 klassemoestuinieren</t>
  </si>
  <si>
    <t>rek Ineke Bams nr 2022.11</t>
  </si>
  <si>
    <t>restant 20220515</t>
  </si>
  <si>
    <t>ODRU 20220515 bloemen en bijen</t>
  </si>
  <si>
    <t>Fort University Holland nr 2022-04</t>
  </si>
  <si>
    <t>rek Ineke Bams nr 2022.17</t>
  </si>
  <si>
    <t>rek D van Schaik 202200029</t>
  </si>
  <si>
    <t>ODRU 20220585 kwaliteitsverbet. Bassiond</t>
  </si>
  <si>
    <t>schenking Meta van Dijk</t>
  </si>
  <si>
    <t>Hans Hoogeveen concept fleur</t>
  </si>
  <si>
    <t>restant Ineke Bams</t>
  </si>
  <si>
    <t>boeking donaties</t>
  </si>
  <si>
    <t>concept Fleur Hoogeveen</t>
  </si>
  <si>
    <t>Coop Raifaissenbank</t>
  </si>
  <si>
    <t>nr 12 stimulering NME</t>
  </si>
  <si>
    <t>nr 8 basisonderwijs</t>
  </si>
  <si>
    <t>Concept jaarrekening t.g.v. bestuur op 23 januari 2023</t>
  </si>
  <si>
    <t>JAARREKENING 2022</t>
  </si>
  <si>
    <t>Balans per 31 december 2022</t>
  </si>
  <si>
    <t>Winst- en verliesrekening 2022</t>
  </si>
  <si>
    <t>saldo verlies 2022</t>
  </si>
  <si>
    <t>twee posten 789,60 en 10</t>
  </si>
  <si>
    <t>totaal 799,60</t>
  </si>
  <si>
    <t>rek</t>
  </si>
  <si>
    <t>totaal 217,76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</si>
</sst>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.00_-"/>
    <numFmt numFmtId="181" formatCode="&quot;€&quot;\ #,##0.00_-"/>
    <numFmt numFmtId="182" formatCode="m/d/yyyy"/>
    <numFmt numFmtId="183" formatCode="dd/mm/yy"/>
    <numFmt numFmtId="184" formatCode="mmm/yyyy"/>
    <numFmt numFmtId="185" formatCode="[$-413]dddd\ d\ mmmm\ yyyy"/>
    <numFmt numFmtId="186" formatCode="&quot;€&quot;\ #,##0.00"/>
    <numFmt numFmtId="187" formatCode="m/d/yyyy;@"/>
    <numFmt numFmtId="188" formatCode="d/mm/yy;@"/>
  </numFmts>
  <fonts count="66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u val="single"/>
      <sz val="11"/>
      <name val="Arial"/>
      <family val="2"/>
    </font>
    <font>
      <u val="single"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i/>
      <u val="single"/>
      <sz val="12"/>
      <name val="Arial"/>
      <family val="2"/>
    </font>
    <font>
      <u val="single"/>
      <sz val="10"/>
      <name val="Arial"/>
      <family val="2"/>
    </font>
    <font>
      <i/>
      <u val="single"/>
      <sz val="12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i/>
      <sz val="16"/>
      <color theme="1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0010261535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0" fillId="31" borderId="7" applyNumberFormat="0" applyFont="0" applyAlignment="0" applyProtection="0"/>
    <xf numFmtId="0" fontId="59" fillId="32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1" fillId="0" borderId="0" xfId="0" applyFont="1" applyAlignment="1">
      <alignment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3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178" fontId="2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" fillId="0" borderId="11" xfId="0" applyFont="1" applyBorder="1" applyAlignment="1">
      <alignment/>
    </xf>
    <xf numFmtId="178" fontId="1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4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70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170" fontId="0" fillId="0" borderId="14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2" fillId="0" borderId="0" xfId="0" applyFont="1" applyBorder="1" applyAlignment="1">
      <alignment/>
    </xf>
    <xf numFmtId="170" fontId="2" fillId="0" borderId="14" xfId="0" applyNumberFormat="1" applyFont="1" applyBorder="1" applyAlignment="1">
      <alignment/>
    </xf>
    <xf numFmtId="170" fontId="2" fillId="0" borderId="15" xfId="0" applyNumberFormat="1" applyFont="1" applyBorder="1" applyAlignment="1">
      <alignment/>
    </xf>
    <xf numFmtId="170" fontId="5" fillId="0" borderId="14" xfId="0" applyNumberFormat="1" applyFont="1" applyBorder="1" applyAlignment="1">
      <alignment/>
    </xf>
    <xf numFmtId="0" fontId="2" fillId="0" borderId="0" xfId="0" applyFont="1" applyBorder="1" applyAlignment="1">
      <alignment/>
    </xf>
    <xf numFmtId="170" fontId="2" fillId="0" borderId="15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70" fontId="5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2" fillId="0" borderId="14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8" fontId="5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2" fillId="0" borderId="11" xfId="0" applyFont="1" applyBorder="1" applyAlignment="1">
      <alignment horizontal="distributed" vertical="distributed" shrinkToFit="1"/>
    </xf>
    <xf numFmtId="0" fontId="1" fillId="0" borderId="11" xfId="0" applyFont="1" applyBorder="1" applyAlignment="1">
      <alignment horizontal="distributed" vertical="distributed"/>
    </xf>
    <xf numFmtId="178" fontId="1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16" fontId="1" fillId="0" borderId="13" xfId="0" applyNumberFormat="1" applyFont="1" applyBorder="1" applyAlignment="1">
      <alignment horizontal="center"/>
    </xf>
    <xf numFmtId="178" fontId="1" fillId="0" borderId="15" xfId="0" applyNumberFormat="1" applyFont="1" applyBorder="1" applyAlignment="1">
      <alignment/>
    </xf>
    <xf numFmtId="14" fontId="1" fillId="0" borderId="13" xfId="0" applyNumberFormat="1" applyFont="1" applyBorder="1" applyAlignment="1">
      <alignment horizontal="center"/>
    </xf>
    <xf numFmtId="178" fontId="3" fillId="0" borderId="14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78" fontId="2" fillId="0" borderId="15" xfId="0" applyNumberFormat="1" applyFont="1" applyBorder="1" applyAlignment="1">
      <alignment/>
    </xf>
    <xf numFmtId="0" fontId="0" fillId="0" borderId="14" xfId="0" applyBorder="1" applyAlignment="1">
      <alignment/>
    </xf>
    <xf numFmtId="178" fontId="2" fillId="0" borderId="14" xfId="0" applyNumberFormat="1" applyFont="1" applyFill="1" applyBorder="1" applyAlignment="1">
      <alignment/>
    </xf>
    <xf numFmtId="14" fontId="1" fillId="0" borderId="13" xfId="0" applyNumberFormat="1" applyFont="1" applyBorder="1" applyAlignment="1">
      <alignment/>
    </xf>
    <xf numFmtId="178" fontId="2" fillId="0" borderId="14" xfId="0" applyNumberFormat="1" applyFont="1" applyBorder="1" applyAlignment="1">
      <alignment/>
    </xf>
    <xf numFmtId="0" fontId="5" fillId="0" borderId="0" xfId="0" applyFont="1" applyBorder="1" applyAlignment="1">
      <alignment/>
    </xf>
    <xf numFmtId="170" fontId="5" fillId="0" borderId="14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7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distributed" shrinkToFit="1"/>
    </xf>
    <xf numFmtId="0" fontId="1" fillId="0" borderId="0" xfId="0" applyFont="1" applyBorder="1" applyAlignment="1">
      <alignment horizontal="distributed" vertical="distributed"/>
    </xf>
    <xf numFmtId="178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70" fontId="5" fillId="0" borderId="0" xfId="0" applyNumberFormat="1" applyFont="1" applyBorder="1" applyAlignment="1">
      <alignment/>
    </xf>
    <xf numFmtId="14" fontId="2" fillId="0" borderId="0" xfId="0" applyNumberFormat="1" applyFont="1" applyBorder="1" applyAlignment="1">
      <alignment/>
    </xf>
    <xf numFmtId="170" fontId="5" fillId="33" borderId="16" xfId="0" applyNumberFormat="1" applyFont="1" applyFill="1" applyBorder="1" applyAlignment="1">
      <alignment/>
    </xf>
    <xf numFmtId="178" fontId="5" fillId="33" borderId="16" xfId="0" applyNumberFormat="1" applyFont="1" applyFill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17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10" fillId="0" borderId="0" xfId="0" applyFont="1" applyAlignment="1">
      <alignment/>
    </xf>
    <xf numFmtId="14" fontId="1" fillId="33" borderId="17" xfId="0" applyNumberFormat="1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ont="1" applyFill="1" applyBorder="1" applyAlignment="1">
      <alignment/>
    </xf>
    <xf numFmtId="14" fontId="2" fillId="33" borderId="17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14" fontId="1" fillId="34" borderId="10" xfId="0" applyNumberFormat="1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170" fontId="5" fillId="34" borderId="12" xfId="0" applyNumberFormat="1" applyFont="1" applyFill="1" applyBorder="1" applyAlignment="1">
      <alignment/>
    </xf>
    <xf numFmtId="14" fontId="1" fillId="34" borderId="17" xfId="0" applyNumberFormat="1" applyFont="1" applyFill="1" applyBorder="1" applyAlignment="1">
      <alignment/>
    </xf>
    <xf numFmtId="0" fontId="5" fillId="34" borderId="18" xfId="0" applyFont="1" applyFill="1" applyBorder="1" applyAlignment="1">
      <alignment/>
    </xf>
    <xf numFmtId="0" fontId="0" fillId="34" borderId="18" xfId="0" applyFill="1" applyBorder="1" applyAlignment="1">
      <alignment/>
    </xf>
    <xf numFmtId="170" fontId="5" fillId="34" borderId="16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15" fontId="5" fillId="34" borderId="17" xfId="0" applyNumberFormat="1" applyFont="1" applyFill="1" applyBorder="1" applyAlignment="1">
      <alignment/>
    </xf>
    <xf numFmtId="44" fontId="5" fillId="34" borderId="16" xfId="0" applyNumberFormat="1" applyFont="1" applyFill="1" applyBorder="1" applyAlignment="1">
      <alignment/>
    </xf>
    <xf numFmtId="0" fontId="0" fillId="34" borderId="18" xfId="0" applyFont="1" applyFill="1" applyBorder="1" applyAlignment="1">
      <alignment/>
    </xf>
    <xf numFmtId="178" fontId="5" fillId="34" borderId="16" xfId="0" applyNumberFormat="1" applyFont="1" applyFill="1" applyBorder="1" applyAlignment="1">
      <alignment/>
    </xf>
    <xf numFmtId="14" fontId="11" fillId="34" borderId="0" xfId="0" applyNumberFormat="1" applyFont="1" applyFill="1" applyAlignment="1">
      <alignment/>
    </xf>
    <xf numFmtId="178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70" fontId="5" fillId="34" borderId="14" xfId="0" applyNumberFormat="1" applyFont="1" applyFill="1" applyBorder="1" applyAlignment="1">
      <alignment/>
    </xf>
    <xf numFmtId="14" fontId="5" fillId="34" borderId="13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14" fontId="1" fillId="34" borderId="13" xfId="0" applyNumberFormat="1" applyFont="1" applyFill="1" applyBorder="1" applyAlignment="1">
      <alignment/>
    </xf>
    <xf numFmtId="178" fontId="5" fillId="34" borderId="14" xfId="0" applyNumberFormat="1" applyFont="1" applyFill="1" applyBorder="1" applyAlignment="1">
      <alignment/>
    </xf>
    <xf numFmtId="14" fontId="2" fillId="34" borderId="10" xfId="0" applyNumberFormat="1" applyFont="1" applyFill="1" applyBorder="1" applyAlignment="1">
      <alignment/>
    </xf>
    <xf numFmtId="14" fontId="2" fillId="34" borderId="13" xfId="0" applyNumberFormat="1" applyFont="1" applyFill="1" applyBorder="1" applyAlignment="1">
      <alignment/>
    </xf>
    <xf numFmtId="14" fontId="2" fillId="34" borderId="17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15" fontId="5" fillId="34" borderId="0" xfId="0" applyNumberFormat="1" applyFont="1" applyFill="1" applyBorder="1" applyAlignment="1">
      <alignment/>
    </xf>
    <xf numFmtId="44" fontId="5" fillId="34" borderId="0" xfId="0" applyNumberFormat="1" applyFont="1" applyFill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Fill="1" applyAlignment="1">
      <alignment/>
    </xf>
    <xf numFmtId="0" fontId="2" fillId="0" borderId="0" xfId="0" applyFont="1" applyFill="1" applyAlignment="1">
      <alignment/>
    </xf>
    <xf numFmtId="14" fontId="1" fillId="12" borderId="10" xfId="0" applyNumberFormat="1" applyFont="1" applyFill="1" applyBorder="1" applyAlignment="1">
      <alignment/>
    </xf>
    <xf numFmtId="0" fontId="5" fillId="12" borderId="11" xfId="0" applyFont="1" applyFill="1" applyBorder="1" applyAlignment="1">
      <alignment/>
    </xf>
    <xf numFmtId="0" fontId="0" fillId="12" borderId="11" xfId="0" applyFill="1" applyBorder="1" applyAlignment="1">
      <alignment/>
    </xf>
    <xf numFmtId="170" fontId="5" fillId="12" borderId="12" xfId="0" applyNumberFormat="1" applyFont="1" applyFill="1" applyBorder="1" applyAlignment="1">
      <alignment/>
    </xf>
    <xf numFmtId="14" fontId="1" fillId="12" borderId="13" xfId="0" applyNumberFormat="1" applyFont="1" applyFill="1" applyBorder="1" applyAlignment="1">
      <alignment/>
    </xf>
    <xf numFmtId="0" fontId="5" fillId="12" borderId="0" xfId="0" applyFont="1" applyFill="1" applyBorder="1" applyAlignment="1">
      <alignment/>
    </xf>
    <xf numFmtId="0" fontId="0" fillId="12" borderId="0" xfId="0" applyFill="1" applyBorder="1" applyAlignment="1">
      <alignment/>
    </xf>
    <xf numFmtId="170" fontId="5" fillId="12" borderId="14" xfId="0" applyNumberFormat="1" applyFont="1" applyFill="1" applyBorder="1" applyAlignment="1">
      <alignment/>
    </xf>
    <xf numFmtId="14" fontId="3" fillId="12" borderId="17" xfId="0" applyNumberFormat="1" applyFont="1" applyFill="1" applyBorder="1" applyAlignment="1">
      <alignment/>
    </xf>
    <xf numFmtId="0" fontId="5" fillId="12" borderId="18" xfId="0" applyFont="1" applyFill="1" applyBorder="1" applyAlignment="1">
      <alignment/>
    </xf>
    <xf numFmtId="0" fontId="0" fillId="12" borderId="18" xfId="0" applyFill="1" applyBorder="1" applyAlignment="1">
      <alignment/>
    </xf>
    <xf numFmtId="170" fontId="5" fillId="12" borderId="16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4" fontId="3" fillId="0" borderId="13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14" fontId="2" fillId="35" borderId="10" xfId="0" applyNumberFormat="1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14" fontId="2" fillId="35" borderId="13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5" fillId="35" borderId="19" xfId="0" applyFont="1" applyFill="1" applyBorder="1" applyAlignment="1">
      <alignment/>
    </xf>
    <xf numFmtId="0" fontId="5" fillId="35" borderId="20" xfId="0" applyFont="1" applyFill="1" applyBorder="1" applyAlignment="1">
      <alignment/>
    </xf>
    <xf numFmtId="44" fontId="5" fillId="35" borderId="21" xfId="0" applyNumberFormat="1" applyFont="1" applyFill="1" applyBorder="1" applyAlignment="1">
      <alignment/>
    </xf>
    <xf numFmtId="0" fontId="0" fillId="35" borderId="17" xfId="0" applyFill="1" applyBorder="1" applyAlignment="1">
      <alignment/>
    </xf>
    <xf numFmtId="0" fontId="5" fillId="35" borderId="18" xfId="0" applyFont="1" applyFill="1" applyBorder="1" applyAlignment="1">
      <alignment/>
    </xf>
    <xf numFmtId="44" fontId="5" fillId="35" borderId="16" xfId="0" applyNumberFormat="1" applyFont="1" applyFill="1" applyBorder="1" applyAlignment="1">
      <alignment/>
    </xf>
    <xf numFmtId="44" fontId="5" fillId="34" borderId="12" xfId="0" applyNumberFormat="1" applyFont="1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ont="1" applyFill="1" applyBorder="1" applyAlignment="1">
      <alignment/>
    </xf>
    <xf numFmtId="0" fontId="12" fillId="0" borderId="0" xfId="0" applyFont="1" applyAlignment="1">
      <alignment/>
    </xf>
    <xf numFmtId="15" fontId="5" fillId="34" borderId="13" xfId="0" applyNumberFormat="1" applyFont="1" applyFill="1" applyBorder="1" applyAlignment="1">
      <alignment/>
    </xf>
    <xf numFmtId="44" fontId="5" fillId="34" borderId="14" xfId="0" applyNumberFormat="1" applyFont="1" applyFill="1" applyBorder="1" applyAlignment="1">
      <alignment/>
    </xf>
    <xf numFmtId="178" fontId="1" fillId="35" borderId="12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0" fillId="35" borderId="0" xfId="0" applyFill="1" applyBorder="1" applyAlignment="1">
      <alignment/>
    </xf>
    <xf numFmtId="0" fontId="5" fillId="35" borderId="11" xfId="0" applyFont="1" applyFill="1" applyBorder="1" applyAlignment="1">
      <alignment/>
    </xf>
    <xf numFmtId="0" fontId="0" fillId="35" borderId="11" xfId="0" applyFill="1" applyBorder="1" applyAlignment="1">
      <alignment/>
    </xf>
    <xf numFmtId="170" fontId="5" fillId="35" borderId="12" xfId="0" applyNumberFormat="1" applyFont="1" applyFill="1" applyBorder="1" applyAlignment="1">
      <alignment/>
    </xf>
    <xf numFmtId="14" fontId="1" fillId="35" borderId="13" xfId="0" applyNumberFormat="1" applyFont="1" applyFill="1" applyBorder="1" applyAlignment="1">
      <alignment/>
    </xf>
    <xf numFmtId="170" fontId="5" fillId="35" borderId="14" xfId="0" applyNumberFormat="1" applyFont="1" applyFill="1" applyBorder="1" applyAlignment="1">
      <alignment/>
    </xf>
    <xf numFmtId="14" fontId="3" fillId="35" borderId="17" xfId="0" applyNumberFormat="1" applyFont="1" applyFill="1" applyBorder="1" applyAlignment="1">
      <alignment/>
    </xf>
    <xf numFmtId="0" fontId="0" fillId="35" borderId="18" xfId="0" applyFill="1" applyBorder="1" applyAlignment="1">
      <alignment/>
    </xf>
    <xf numFmtId="170" fontId="5" fillId="35" borderId="16" xfId="0" applyNumberFormat="1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170" fontId="2" fillId="33" borderId="14" xfId="0" applyNumberFormat="1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14" fontId="2" fillId="33" borderId="13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70" fontId="5" fillId="33" borderId="14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3" xfId="0" applyFill="1" applyBorder="1" applyAlignment="1">
      <alignment/>
    </xf>
    <xf numFmtId="44" fontId="5" fillId="35" borderId="14" xfId="0" applyNumberFormat="1" applyFont="1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6" xfId="0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14" fontId="5" fillId="35" borderId="0" xfId="0" applyNumberFormat="1" applyFont="1" applyFill="1" applyBorder="1" applyAlignment="1">
      <alignment/>
    </xf>
    <xf numFmtId="14" fontId="2" fillId="35" borderId="0" xfId="0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171" fontId="5" fillId="0" borderId="0" xfId="0" applyNumberFormat="1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5" fillId="0" borderId="19" xfId="0" applyFont="1" applyBorder="1" applyAlignment="1">
      <alignment/>
    </xf>
    <xf numFmtId="44" fontId="5" fillId="0" borderId="20" xfId="0" applyNumberFormat="1" applyFont="1" applyBorder="1" applyAlignment="1">
      <alignment/>
    </xf>
    <xf numFmtId="0" fontId="5" fillId="0" borderId="20" xfId="0" applyFont="1" applyBorder="1" applyAlignment="1">
      <alignment/>
    </xf>
    <xf numFmtId="44" fontId="5" fillId="0" borderId="2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44" fontId="0" fillId="0" borderId="0" xfId="0" applyNumberFormat="1" applyBorder="1" applyAlignment="1">
      <alignment/>
    </xf>
    <xf numFmtId="44" fontId="0" fillId="0" borderId="0" xfId="0" applyNumberFormat="1" applyFont="1" applyBorder="1" applyAlignment="1">
      <alignment/>
    </xf>
    <xf numFmtId="44" fontId="0" fillId="0" borderId="14" xfId="0" applyNumberFormat="1" applyBorder="1" applyAlignment="1">
      <alignment/>
    </xf>
    <xf numFmtId="44" fontId="0" fillId="0" borderId="18" xfId="0" applyNumberFormat="1" applyBorder="1" applyAlignment="1">
      <alignment/>
    </xf>
    <xf numFmtId="44" fontId="0" fillId="0" borderId="16" xfId="0" applyNumberFormat="1" applyBorder="1" applyAlignment="1">
      <alignment/>
    </xf>
    <xf numFmtId="0" fontId="9" fillId="0" borderId="13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35" borderId="11" xfId="0" applyFont="1" applyFill="1" applyBorder="1" applyAlignment="1">
      <alignment horizontal="distributed" vertical="distributed"/>
    </xf>
    <xf numFmtId="0" fontId="13" fillId="35" borderId="11" xfId="0" applyFont="1" applyFill="1" applyBorder="1" applyAlignment="1">
      <alignment/>
    </xf>
    <xf numFmtId="44" fontId="5" fillId="35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44" fontId="5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/>
    </xf>
    <xf numFmtId="44" fontId="2" fillId="35" borderId="14" xfId="0" applyNumberFormat="1" applyFont="1" applyFill="1" applyBorder="1" applyAlignment="1">
      <alignment/>
    </xf>
    <xf numFmtId="14" fontId="0" fillId="35" borderId="13" xfId="0" applyNumberFormat="1" applyFill="1" applyBorder="1" applyAlignment="1">
      <alignment/>
    </xf>
    <xf numFmtId="14" fontId="2" fillId="35" borderId="13" xfId="0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44" fontId="5" fillId="33" borderId="16" xfId="0" applyNumberFormat="1" applyFont="1" applyFill="1" applyBorder="1" applyAlignment="1">
      <alignment/>
    </xf>
    <xf numFmtId="44" fontId="5" fillId="33" borderId="14" xfId="0" applyNumberFormat="1" applyFont="1" applyFill="1" applyBorder="1" applyAlignment="1">
      <alignment/>
    </xf>
    <xf numFmtId="14" fontId="5" fillId="33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5" fontId="5" fillId="0" borderId="17" xfId="0" applyNumberFormat="1" applyFont="1" applyFill="1" applyBorder="1" applyAlignment="1">
      <alignment/>
    </xf>
    <xf numFmtId="15" fontId="5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6" xfId="0" applyFill="1" applyBorder="1" applyAlignment="1">
      <alignment/>
    </xf>
    <xf numFmtId="44" fontId="5" fillId="33" borderId="0" xfId="0" applyNumberFormat="1" applyFont="1" applyFill="1" applyBorder="1" applyAlignment="1">
      <alignment/>
    </xf>
    <xf numFmtId="44" fontId="9" fillId="33" borderId="0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14" fontId="15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4" fillId="35" borderId="10" xfId="0" applyFont="1" applyFill="1" applyBorder="1" applyAlignment="1">
      <alignment/>
    </xf>
    <xf numFmtId="0" fontId="0" fillId="0" borderId="0" xfId="0" applyFont="1" applyFill="1" applyAlignment="1">
      <alignment/>
    </xf>
    <xf numFmtId="180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0" fontId="0" fillId="0" borderId="0" xfId="0" applyNumberFormat="1" applyFill="1" applyAlignment="1">
      <alignment/>
    </xf>
    <xf numFmtId="0" fontId="0" fillId="33" borderId="0" xfId="0" applyFont="1" applyFill="1" applyBorder="1" applyAlignment="1">
      <alignment/>
    </xf>
    <xf numFmtId="14" fontId="5" fillId="34" borderId="0" xfId="0" applyNumberFormat="1" applyFont="1" applyFill="1" applyBorder="1" applyAlignment="1">
      <alignment/>
    </xf>
    <xf numFmtId="15" fontId="5" fillId="33" borderId="0" xfId="0" applyNumberFormat="1" applyFont="1" applyFill="1" applyBorder="1" applyAlignment="1">
      <alignment/>
    </xf>
    <xf numFmtId="44" fontId="0" fillId="36" borderId="14" xfId="0" applyNumberFormat="1" applyFill="1" applyBorder="1" applyAlignment="1">
      <alignment/>
    </xf>
    <xf numFmtId="44" fontId="0" fillId="0" borderId="14" xfId="0" applyNumberFormat="1" applyFill="1" applyBorder="1" applyAlignment="1">
      <alignment/>
    </xf>
    <xf numFmtId="44" fontId="0" fillId="36" borderId="14" xfId="0" applyNumberFormat="1" applyFont="1" applyFill="1" applyBorder="1" applyAlignment="1">
      <alignment/>
    </xf>
    <xf numFmtId="44" fontId="0" fillId="0" borderId="14" xfId="0" applyNumberFormat="1" applyFont="1" applyBorder="1" applyAlignment="1">
      <alignment/>
    </xf>
    <xf numFmtId="0" fontId="9" fillId="33" borderId="13" xfId="0" applyFont="1" applyFill="1" applyBorder="1" applyAlignment="1">
      <alignment/>
    </xf>
    <xf numFmtId="0" fontId="0" fillId="0" borderId="22" xfId="0" applyBorder="1" applyAlignment="1">
      <alignment/>
    </xf>
    <xf numFmtId="15" fontId="0" fillId="0" borderId="23" xfId="0" applyNumberForma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/>
    </xf>
    <xf numFmtId="44" fontId="0" fillId="34" borderId="23" xfId="0" applyNumberFormat="1" applyFill="1" applyBorder="1" applyAlignment="1">
      <alignment/>
    </xf>
    <xf numFmtId="44" fontId="0" fillId="0" borderId="23" xfId="0" applyNumberFormat="1" applyBorder="1" applyAlignment="1">
      <alignment/>
    </xf>
    <xf numFmtId="44" fontId="5" fillId="0" borderId="24" xfId="0" applyNumberFormat="1" applyFont="1" applyBorder="1" applyAlignment="1">
      <alignment/>
    </xf>
    <xf numFmtId="15" fontId="9" fillId="0" borderId="14" xfId="0" applyNumberFormat="1" applyFont="1" applyBorder="1" applyAlignment="1">
      <alignment/>
    </xf>
    <xf numFmtId="16" fontId="0" fillId="0" borderId="14" xfId="0" applyNumberFormat="1" applyFont="1" applyBorder="1" applyAlignment="1">
      <alignment/>
    </xf>
    <xf numFmtId="4" fontId="0" fillId="0" borderId="0" xfId="0" applyNumberFormat="1" applyFill="1" applyBorder="1" applyAlignment="1">
      <alignment/>
    </xf>
    <xf numFmtId="0" fontId="18" fillId="0" borderId="0" xfId="0" applyFont="1" applyFill="1" applyBorder="1" applyAlignment="1">
      <alignment/>
    </xf>
    <xf numFmtId="44" fontId="0" fillId="37" borderId="23" xfId="0" applyNumberFormat="1" applyFill="1" applyBorder="1" applyAlignment="1">
      <alignment/>
    </xf>
    <xf numFmtId="44" fontId="0" fillId="37" borderId="14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15" fontId="0" fillId="0" borderId="13" xfId="0" applyNumberFormat="1" applyFont="1" applyBorder="1" applyAlignment="1">
      <alignment/>
    </xf>
    <xf numFmtId="15" fontId="0" fillId="0" borderId="0" xfId="0" applyNumberFormat="1" applyFont="1" applyBorder="1" applyAlignment="1">
      <alignment/>
    </xf>
    <xf numFmtId="15" fontId="0" fillId="0" borderId="14" xfId="0" applyNumberFormat="1" applyFont="1" applyBorder="1" applyAlignment="1">
      <alignment/>
    </xf>
    <xf numFmtId="15" fontId="9" fillId="0" borderId="13" xfId="0" applyNumberFormat="1" applyFont="1" applyBorder="1" applyAlignment="1">
      <alignment/>
    </xf>
    <xf numFmtId="15" fontId="11" fillId="33" borderId="0" xfId="0" applyNumberFormat="1" applyFont="1" applyFill="1" applyAlignment="1">
      <alignment/>
    </xf>
    <xf numFmtId="15" fontId="5" fillId="33" borderId="18" xfId="0" applyNumberFormat="1" applyFont="1" applyFill="1" applyBorder="1" applyAlignment="1">
      <alignment/>
    </xf>
    <xf numFmtId="44" fontId="0" fillId="19" borderId="14" xfId="0" applyNumberFormat="1" applyFill="1" applyBorder="1" applyAlignment="1">
      <alignment/>
    </xf>
    <xf numFmtId="44" fontId="0" fillId="16" borderId="14" xfId="0" applyNumberFormat="1" applyFill="1" applyBorder="1" applyAlignment="1">
      <alignment/>
    </xf>
    <xf numFmtId="44" fontId="5" fillId="19" borderId="21" xfId="0" applyNumberFormat="1" applyFont="1" applyFill="1" applyBorder="1" applyAlignment="1">
      <alignment/>
    </xf>
    <xf numFmtId="44" fontId="0" fillId="38" borderId="14" xfId="0" applyNumberFormat="1" applyFill="1" applyBorder="1" applyAlignment="1">
      <alignment/>
    </xf>
    <xf numFmtId="44" fontId="0" fillId="16" borderId="13" xfId="0" applyNumberFormat="1" applyFont="1" applyFill="1" applyBorder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9" fillId="0" borderId="11" xfId="0" applyFont="1" applyBorder="1" applyAlignment="1">
      <alignment/>
    </xf>
    <xf numFmtId="180" fontId="19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8" xfId="0" applyFont="1" applyBorder="1" applyAlignment="1">
      <alignment/>
    </xf>
    <xf numFmtId="0" fontId="2" fillId="33" borderId="18" xfId="0" applyFont="1" applyFill="1" applyBorder="1" applyAlignment="1">
      <alignment/>
    </xf>
    <xf numFmtId="180" fontId="2" fillId="33" borderId="18" xfId="0" applyNumberFormat="1" applyFont="1" applyFill="1" applyBorder="1" applyAlignment="1">
      <alignment/>
    </xf>
    <xf numFmtId="180" fontId="2" fillId="0" borderId="18" xfId="0" applyNumberFormat="1" applyFont="1" applyBorder="1" applyAlignment="1">
      <alignment/>
    </xf>
    <xf numFmtId="0" fontId="2" fillId="0" borderId="16" xfId="0" applyFont="1" applyBorder="1" applyAlignment="1">
      <alignment/>
    </xf>
    <xf numFmtId="0" fontId="0" fillId="39" borderId="20" xfId="0" applyFill="1" applyBorder="1" applyAlignment="1">
      <alignment/>
    </xf>
    <xf numFmtId="0" fontId="0" fillId="39" borderId="21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180" fontId="2" fillId="0" borderId="11" xfId="0" applyNumberFormat="1" applyFont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14" xfId="0" applyFill="1" applyBorder="1" applyAlignment="1">
      <alignment/>
    </xf>
    <xf numFmtId="0" fontId="0" fillId="39" borderId="13" xfId="0" applyFill="1" applyBorder="1" applyAlignment="1">
      <alignment/>
    </xf>
    <xf numFmtId="0" fontId="3" fillId="0" borderId="13" xfId="0" applyFont="1" applyBorder="1" applyAlignment="1">
      <alignment/>
    </xf>
    <xf numFmtId="180" fontId="3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180" fontId="3" fillId="39" borderId="13" xfId="0" applyNumberFormat="1" applyFont="1" applyFill="1" applyBorder="1" applyAlignment="1">
      <alignment/>
    </xf>
    <xf numFmtId="180" fontId="3" fillId="39" borderId="0" xfId="0" applyNumberFormat="1" applyFont="1" applyFill="1" applyBorder="1" applyAlignment="1">
      <alignment/>
    </xf>
    <xf numFmtId="180" fontId="3" fillId="39" borderId="14" xfId="0" applyNumberFormat="1" applyFont="1" applyFill="1" applyBorder="1" applyAlignment="1">
      <alignment/>
    </xf>
    <xf numFmtId="14" fontId="0" fillId="0" borderId="0" xfId="0" applyNumberFormat="1" applyFont="1" applyBorder="1" applyAlignment="1">
      <alignment/>
    </xf>
    <xf numFmtId="14" fontId="15" fillId="0" borderId="0" xfId="0" applyNumberFormat="1" applyFont="1" applyBorder="1" applyAlignment="1">
      <alignment/>
    </xf>
    <xf numFmtId="180" fontId="2" fillId="0" borderId="0" xfId="0" applyNumberFormat="1" applyFont="1" applyBorder="1" applyAlignment="1">
      <alignment/>
    </xf>
    <xf numFmtId="14" fontId="15" fillId="0" borderId="14" xfId="0" applyNumberFormat="1" applyFont="1" applyBorder="1" applyAlignment="1">
      <alignment/>
    </xf>
    <xf numFmtId="14" fontId="15" fillId="39" borderId="0" xfId="0" applyNumberFormat="1" applyFont="1" applyFill="1" applyBorder="1" applyAlignment="1">
      <alignment/>
    </xf>
    <xf numFmtId="0" fontId="0" fillId="38" borderId="13" xfId="0" applyFont="1" applyFill="1" applyBorder="1" applyAlignment="1">
      <alignment/>
    </xf>
    <xf numFmtId="44" fontId="0" fillId="38" borderId="14" xfId="0" applyNumberFormat="1" applyFont="1" applyFill="1" applyBorder="1" applyAlignment="1">
      <alignment/>
    </xf>
    <xf numFmtId="0" fontId="0" fillId="38" borderId="14" xfId="0" applyFill="1" applyBorder="1" applyAlignment="1">
      <alignment/>
    </xf>
    <xf numFmtId="180" fontId="0" fillId="38" borderId="0" xfId="0" applyNumberFormat="1" applyFont="1" applyFill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44" fontId="0" fillId="0" borderId="15" xfId="0" applyNumberFormat="1" applyFont="1" applyBorder="1" applyAlignment="1">
      <alignment/>
    </xf>
    <xf numFmtId="0" fontId="0" fillId="38" borderId="0" xfId="0" applyFill="1" applyBorder="1" applyAlignment="1">
      <alignment/>
    </xf>
    <xf numFmtId="0" fontId="0" fillId="0" borderId="25" xfId="0" applyBorder="1" applyAlignment="1">
      <alignment/>
    </xf>
    <xf numFmtId="44" fontId="0" fillId="0" borderId="25" xfId="0" applyNumberFormat="1" applyFont="1" applyBorder="1" applyAlignment="1">
      <alignment/>
    </xf>
    <xf numFmtId="0" fontId="2" fillId="0" borderId="25" xfId="0" applyFont="1" applyBorder="1" applyAlignment="1">
      <alignment/>
    </xf>
    <xf numFmtId="180" fontId="0" fillId="0" borderId="25" xfId="0" applyNumberFormat="1" applyFont="1" applyBorder="1" applyAlignment="1">
      <alignment/>
    </xf>
    <xf numFmtId="44" fontId="0" fillId="0" borderId="26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6" xfId="0" applyFont="1" applyBorder="1" applyAlignment="1">
      <alignment/>
    </xf>
    <xf numFmtId="44" fontId="0" fillId="0" borderId="26" xfId="0" applyNumberFormat="1" applyBorder="1" applyAlignment="1">
      <alignment/>
    </xf>
    <xf numFmtId="44" fontId="0" fillId="0" borderId="27" xfId="0" applyNumberFormat="1" applyFont="1" applyBorder="1" applyAlignment="1">
      <alignment/>
    </xf>
    <xf numFmtId="0" fontId="0" fillId="38" borderId="28" xfId="0" applyFont="1" applyFill="1" applyBorder="1" applyAlignment="1">
      <alignment/>
    </xf>
    <xf numFmtId="44" fontId="0" fillId="38" borderId="26" xfId="0" applyNumberFormat="1" applyFont="1" applyFill="1" applyBorder="1" applyAlignment="1">
      <alignment/>
    </xf>
    <xf numFmtId="0" fontId="0" fillId="38" borderId="27" xfId="0" applyFill="1" applyBorder="1" applyAlignment="1">
      <alignment/>
    </xf>
    <xf numFmtId="0" fontId="0" fillId="38" borderId="26" xfId="0" applyFont="1" applyFill="1" applyBorder="1" applyAlignment="1">
      <alignment/>
    </xf>
    <xf numFmtId="44" fontId="0" fillId="38" borderId="27" xfId="0" applyNumberForma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/>
    </xf>
    <xf numFmtId="171" fontId="0" fillId="0" borderId="18" xfId="0" applyNumberFormat="1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38" borderId="17" xfId="0" applyFont="1" applyFill="1" applyBorder="1" applyAlignment="1">
      <alignment/>
    </xf>
    <xf numFmtId="44" fontId="0" fillId="38" borderId="18" xfId="0" applyNumberFormat="1" applyFont="1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8" xfId="0" applyFill="1" applyBorder="1" applyAlignment="1">
      <alignment/>
    </xf>
    <xf numFmtId="44" fontId="0" fillId="38" borderId="16" xfId="0" applyNumberFormat="1" applyFill="1" applyBorder="1" applyAlignment="1">
      <alignment/>
    </xf>
    <xf numFmtId="180" fontId="0" fillId="0" borderId="18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9" fillId="0" borderId="0" xfId="0" applyFont="1" applyBorder="1" applyAlignment="1">
      <alignment horizontal="right"/>
    </xf>
    <xf numFmtId="180" fontId="1" fillId="0" borderId="0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15" fillId="0" borderId="0" xfId="0" applyFont="1" applyBorder="1" applyAlignment="1">
      <alignment horizontal="right"/>
    </xf>
    <xf numFmtId="180" fontId="0" fillId="0" borderId="0" xfId="0" applyNumberFormat="1" applyBorder="1" applyAlignment="1">
      <alignment/>
    </xf>
    <xf numFmtId="0" fontId="15" fillId="0" borderId="14" xfId="0" applyFont="1" applyBorder="1" applyAlignment="1">
      <alignment horizontal="right"/>
    </xf>
    <xf numFmtId="171" fontId="0" fillId="0" borderId="0" xfId="0" applyNumberFormat="1" applyAlignment="1">
      <alignment/>
    </xf>
    <xf numFmtId="0" fontId="9" fillId="0" borderId="0" xfId="0" applyFont="1" applyBorder="1" applyAlignment="1">
      <alignment/>
    </xf>
    <xf numFmtId="180" fontId="0" fillId="0" borderId="29" xfId="0" applyNumberFormat="1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171" fontId="0" fillId="0" borderId="31" xfId="0" applyNumberFormat="1" applyFont="1" applyBorder="1" applyAlignment="1">
      <alignment/>
    </xf>
    <xf numFmtId="180" fontId="0" fillId="0" borderId="31" xfId="0" applyNumberFormat="1" applyFont="1" applyBorder="1" applyAlignment="1">
      <alignment/>
    </xf>
    <xf numFmtId="44" fontId="0" fillId="0" borderId="32" xfId="0" applyNumberFormat="1" applyFont="1" applyBorder="1" applyAlignment="1">
      <alignment/>
    </xf>
    <xf numFmtId="171" fontId="0" fillId="0" borderId="14" xfId="0" applyNumberFormat="1" applyBorder="1" applyAlignment="1">
      <alignment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1" fillId="0" borderId="17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180" fontId="1" fillId="0" borderId="18" xfId="0" applyNumberFormat="1" applyFont="1" applyBorder="1" applyAlignment="1">
      <alignment/>
    </xf>
    <xf numFmtId="0" fontId="0" fillId="0" borderId="16" xfId="0" applyBorder="1" applyAlignment="1">
      <alignment/>
    </xf>
    <xf numFmtId="180" fontId="1" fillId="0" borderId="0" xfId="0" applyNumberFormat="1" applyFont="1" applyAlignment="1">
      <alignment/>
    </xf>
    <xf numFmtId="180" fontId="9" fillId="16" borderId="0" xfId="0" applyNumberFormat="1" applyFont="1" applyFill="1" applyBorder="1" applyAlignment="1">
      <alignment/>
    </xf>
    <xf numFmtId="14" fontId="0" fillId="0" borderId="13" xfId="0" applyNumberFormat="1" applyFont="1" applyBorder="1" applyAlignment="1">
      <alignment/>
    </xf>
    <xf numFmtId="44" fontId="1" fillId="0" borderId="0" xfId="0" applyNumberFormat="1" applyFont="1" applyBorder="1" applyAlignment="1">
      <alignment/>
    </xf>
    <xf numFmtId="0" fontId="5" fillId="16" borderId="0" xfId="0" applyFont="1" applyFill="1" applyBorder="1" applyAlignment="1">
      <alignment/>
    </xf>
    <xf numFmtId="44" fontId="5" fillId="16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0" fillId="39" borderId="20" xfId="0" applyNumberFormat="1" applyFill="1" applyBorder="1" applyAlignment="1">
      <alignment/>
    </xf>
    <xf numFmtId="1" fontId="0" fillId="39" borderId="0" xfId="0" applyNumberFormat="1" applyFill="1" applyBorder="1" applyAlignment="1">
      <alignment/>
    </xf>
    <xf numFmtId="1" fontId="3" fillId="39" borderId="0" xfId="0" applyNumberFormat="1" applyFont="1" applyFill="1" applyBorder="1" applyAlignment="1">
      <alignment/>
    </xf>
    <xf numFmtId="1" fontId="0" fillId="38" borderId="0" xfId="0" applyNumberFormat="1" applyFont="1" applyFill="1" applyBorder="1" applyAlignment="1">
      <alignment/>
    </xf>
    <xf numFmtId="1" fontId="0" fillId="38" borderId="0" xfId="0" applyNumberFormat="1" applyFill="1" applyBorder="1" applyAlignment="1">
      <alignment/>
    </xf>
    <xf numFmtId="1" fontId="0" fillId="38" borderId="26" xfId="0" applyNumberFormat="1" applyFont="1" applyFill="1" applyBorder="1" applyAlignment="1">
      <alignment/>
    </xf>
    <xf numFmtId="1" fontId="0" fillId="38" borderId="18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44" fontId="4" fillId="0" borderId="14" xfId="0" applyNumberFormat="1" applyFont="1" applyFill="1" applyBorder="1" applyAlignment="1">
      <alignment/>
    </xf>
    <xf numFmtId="14" fontId="5" fillId="33" borderId="13" xfId="0" applyNumberFormat="1" applyFont="1" applyFill="1" applyBorder="1" applyAlignment="1">
      <alignment/>
    </xf>
    <xf numFmtId="0" fontId="9" fillId="18" borderId="33" xfId="0" applyFont="1" applyFill="1" applyBorder="1" applyAlignment="1">
      <alignment/>
    </xf>
    <xf numFmtId="0" fontId="9" fillId="18" borderId="29" xfId="0" applyFont="1" applyFill="1" applyBorder="1" applyAlignment="1">
      <alignment/>
    </xf>
    <xf numFmtId="44" fontId="9" fillId="18" borderId="29" xfId="0" applyNumberFormat="1" applyFont="1" applyFill="1" applyBorder="1" applyAlignment="1">
      <alignment/>
    </xf>
    <xf numFmtId="44" fontId="9" fillId="0" borderId="29" xfId="0" applyNumberFormat="1" applyFont="1" applyBorder="1" applyAlignment="1">
      <alignment/>
    </xf>
    <xf numFmtId="44" fontId="9" fillId="0" borderId="34" xfId="0" applyNumberFormat="1" applyFont="1" applyBorder="1" applyAlignment="1">
      <alignment/>
    </xf>
    <xf numFmtId="44" fontId="0" fillId="0" borderId="13" xfId="0" applyNumberFormat="1" applyBorder="1" applyAlignment="1">
      <alignment/>
    </xf>
    <xf numFmtId="44" fontId="0" fillId="0" borderId="28" xfId="0" applyNumberFormat="1" applyFont="1" applyBorder="1" applyAlignment="1">
      <alignment/>
    </xf>
    <xf numFmtId="0" fontId="9" fillId="0" borderId="0" xfId="0" applyFont="1" applyFill="1" applyAlignment="1">
      <alignment/>
    </xf>
    <xf numFmtId="15" fontId="0" fillId="0" borderId="0" xfId="0" applyNumberFormat="1" applyFill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4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70" fontId="5" fillId="0" borderId="0" xfId="0" applyNumberFormat="1" applyFont="1" applyFill="1" applyBorder="1" applyAlignment="1">
      <alignment/>
    </xf>
    <xf numFmtId="15" fontId="5" fillId="35" borderId="0" xfId="0" applyNumberFormat="1" applyFont="1" applyFill="1" applyBorder="1" applyAlignment="1">
      <alignment/>
    </xf>
    <xf numFmtId="44" fontId="2" fillId="35" borderId="0" xfId="0" applyNumberFormat="1" applyFont="1" applyFill="1" applyBorder="1" applyAlignment="1">
      <alignment/>
    </xf>
    <xf numFmtId="0" fontId="1" fillId="35" borderId="11" xfId="0" applyFont="1" applyFill="1" applyBorder="1" applyAlignment="1">
      <alignment/>
    </xf>
    <xf numFmtId="14" fontId="3" fillId="33" borderId="13" xfId="0" applyNumberFormat="1" applyFont="1" applyFill="1" applyBorder="1" applyAlignment="1">
      <alignment/>
    </xf>
    <xf numFmtId="15" fontId="11" fillId="33" borderId="13" xfId="0" applyNumberFormat="1" applyFont="1" applyFill="1" applyBorder="1" applyAlignment="1">
      <alignment/>
    </xf>
    <xf numFmtId="14" fontId="7" fillId="35" borderId="10" xfId="0" applyNumberFormat="1" applyFont="1" applyFill="1" applyBorder="1" applyAlignment="1">
      <alignment/>
    </xf>
    <xf numFmtId="14" fontId="1" fillId="33" borderId="13" xfId="0" applyNumberFormat="1" applyFont="1" applyFill="1" applyBorder="1" applyAlignment="1">
      <alignment/>
    </xf>
    <xf numFmtId="178" fontId="5" fillId="33" borderId="14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70" fontId="2" fillId="35" borderId="12" xfId="0" applyNumberFormat="1" applyFont="1" applyFill="1" applyBorder="1" applyAlignment="1">
      <alignment/>
    </xf>
    <xf numFmtId="15" fontId="5" fillId="35" borderId="13" xfId="0" applyNumberFormat="1" applyFont="1" applyFill="1" applyBorder="1" applyAlignment="1">
      <alignment/>
    </xf>
    <xf numFmtId="15" fontId="5" fillId="33" borderId="17" xfId="0" applyNumberFormat="1" applyFont="1" applyFill="1" applyBorder="1" applyAlignment="1">
      <alignment/>
    </xf>
    <xf numFmtId="0" fontId="0" fillId="35" borderId="14" xfId="0" applyFont="1" applyFill="1" applyBorder="1" applyAlignment="1">
      <alignment/>
    </xf>
    <xf numFmtId="15" fontId="5" fillId="33" borderId="13" xfId="0" applyNumberFormat="1" applyFont="1" applyFill="1" applyBorder="1" applyAlignment="1">
      <alignment/>
    </xf>
    <xf numFmtId="44" fontId="5" fillId="34" borderId="13" xfId="0" applyNumberFormat="1" applyFont="1" applyFill="1" applyBorder="1" applyAlignment="1">
      <alignment/>
    </xf>
    <xf numFmtId="0" fontId="4" fillId="35" borderId="13" xfId="0" applyFont="1" applyFill="1" applyBorder="1" applyAlignment="1">
      <alignment/>
    </xf>
    <xf numFmtId="15" fontId="2" fillId="34" borderId="13" xfId="0" applyNumberFormat="1" applyFont="1" applyFill="1" applyBorder="1" applyAlignment="1">
      <alignment/>
    </xf>
    <xf numFmtId="14" fontId="2" fillId="35" borderId="17" xfId="0" applyNumberFormat="1" applyFont="1" applyFill="1" applyBorder="1" applyAlignment="1">
      <alignment/>
    </xf>
    <xf numFmtId="14" fontId="5" fillId="35" borderId="18" xfId="0" applyNumberFormat="1" applyFont="1" applyFill="1" applyBorder="1" applyAlignment="1">
      <alignment/>
    </xf>
    <xf numFmtId="0" fontId="1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14" fontId="5" fillId="33" borderId="17" xfId="0" applyNumberFormat="1" applyFont="1" applyFill="1" applyBorder="1" applyAlignment="1">
      <alignment/>
    </xf>
    <xf numFmtId="14" fontId="5" fillId="33" borderId="18" xfId="0" applyNumberFormat="1" applyFont="1" applyFill="1" applyBorder="1" applyAlignment="1">
      <alignment/>
    </xf>
    <xf numFmtId="0" fontId="16" fillId="35" borderId="11" xfId="0" applyFont="1" applyFill="1" applyBorder="1" applyAlignment="1">
      <alignment/>
    </xf>
    <xf numFmtId="2" fontId="2" fillId="35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/>
    </xf>
    <xf numFmtId="14" fontId="5" fillId="35" borderId="13" xfId="0" applyNumberFormat="1" applyFont="1" applyFill="1" applyBorder="1" applyAlignment="1">
      <alignment/>
    </xf>
    <xf numFmtId="14" fontId="3" fillId="35" borderId="0" xfId="0" applyNumberFormat="1" applyFont="1" applyFill="1" applyBorder="1" applyAlignment="1">
      <alignment/>
    </xf>
    <xf numFmtId="14" fontId="3" fillId="35" borderId="13" xfId="0" applyNumberFormat="1" applyFont="1" applyFill="1" applyBorder="1" applyAlignment="1">
      <alignment/>
    </xf>
    <xf numFmtId="0" fontId="0" fillId="38" borderId="0" xfId="0" applyFont="1" applyFill="1" applyBorder="1" applyAlignment="1">
      <alignment/>
    </xf>
    <xf numFmtId="0" fontId="12" fillId="39" borderId="19" xfId="0" applyFont="1" applyFill="1" applyBorder="1" applyAlignment="1">
      <alignment/>
    </xf>
    <xf numFmtId="15" fontId="0" fillId="0" borderId="13" xfId="0" applyNumberFormat="1" applyBorder="1" applyAlignment="1">
      <alignment/>
    </xf>
    <xf numFmtId="44" fontId="0" fillId="0" borderId="13" xfId="0" applyNumberFormat="1" applyFont="1" applyFill="1" applyBorder="1" applyAlignment="1">
      <alignment/>
    </xf>
    <xf numFmtId="44" fontId="0" fillId="33" borderId="14" xfId="0" applyNumberFormat="1" applyFill="1" applyBorder="1" applyAlignment="1">
      <alignment/>
    </xf>
    <xf numFmtId="44" fontId="5" fillId="33" borderId="21" xfId="0" applyNumberFormat="1" applyFont="1" applyFill="1" applyBorder="1" applyAlignment="1">
      <alignment/>
    </xf>
    <xf numFmtId="44" fontId="0" fillId="0" borderId="23" xfId="0" applyNumberForma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9" fillId="0" borderId="14" xfId="0" applyNumberFormat="1" applyFont="1" applyFill="1" applyBorder="1" applyAlignment="1">
      <alignment/>
    </xf>
    <xf numFmtId="16" fontId="0" fillId="0" borderId="14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44" fontId="0" fillId="5" borderId="14" xfId="0" applyNumberFormat="1" applyFill="1" applyBorder="1" applyAlignment="1">
      <alignment/>
    </xf>
    <xf numFmtId="16" fontId="9" fillId="0" borderId="0" xfId="0" applyNumberFormat="1" applyFont="1" applyAlignment="1">
      <alignment/>
    </xf>
    <xf numFmtId="0" fontId="9" fillId="0" borderId="0" xfId="0" applyFont="1" applyAlignment="1">
      <alignment/>
    </xf>
    <xf numFmtId="16" fontId="9" fillId="35" borderId="13" xfId="0" applyNumberFormat="1" applyFont="1" applyFill="1" applyBorder="1" applyAlignment="1">
      <alignment/>
    </xf>
    <xf numFmtId="0" fontId="9" fillId="35" borderId="14" xfId="0" applyFont="1" applyFill="1" applyBorder="1" applyAlignment="1">
      <alignment/>
    </xf>
    <xf numFmtId="15" fontId="9" fillId="35" borderId="13" xfId="0" applyNumberFormat="1" applyFont="1" applyFill="1" applyBorder="1" applyAlignment="1">
      <alignment/>
    </xf>
    <xf numFmtId="0" fontId="9" fillId="33" borderId="14" xfId="0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5" fontId="5" fillId="0" borderId="13" xfId="0" applyNumberFormat="1" applyFont="1" applyFill="1" applyBorder="1" applyAlignment="1">
      <alignment/>
    </xf>
    <xf numFmtId="15" fontId="5" fillId="0" borderId="0" xfId="0" applyNumberFormat="1" applyFont="1" applyFill="1" applyBorder="1" applyAlignment="1">
      <alignment/>
    </xf>
    <xf numFmtId="44" fontId="5" fillId="0" borderId="14" xfId="0" applyNumberFormat="1" applyFont="1" applyFill="1" applyBorder="1" applyAlignment="1">
      <alignment/>
    </xf>
    <xf numFmtId="0" fontId="2" fillId="33" borderId="18" xfId="0" applyFont="1" applyFill="1" applyBorder="1" applyAlignment="1">
      <alignment/>
    </xf>
    <xf numFmtId="44" fontId="0" fillId="34" borderId="0" xfId="0" applyNumberFormat="1" applyFill="1" applyAlignment="1">
      <alignment/>
    </xf>
    <xf numFmtId="15" fontId="0" fillId="35" borderId="13" xfId="0" applyNumberFormat="1" applyFill="1" applyBorder="1" applyAlignment="1">
      <alignment/>
    </xf>
    <xf numFmtId="44" fontId="9" fillId="0" borderId="0" xfId="0" applyNumberFormat="1" applyFont="1" applyAlignment="1">
      <alignment/>
    </xf>
    <xf numFmtId="44" fontId="11" fillId="0" borderId="0" xfId="0" applyNumberFormat="1" applyFont="1" applyAlignment="1">
      <alignment/>
    </xf>
    <xf numFmtId="44" fontId="18" fillId="0" borderId="0" xfId="0" applyNumberFormat="1" applyFont="1" applyFill="1" applyBorder="1" applyAlignment="1">
      <alignment/>
    </xf>
    <xf numFmtId="0" fontId="0" fillId="40" borderId="0" xfId="0" applyFill="1" applyAlignment="1">
      <alignment/>
    </xf>
    <xf numFmtId="0" fontId="0" fillId="33" borderId="10" xfId="0" applyFill="1" applyBorder="1" applyAlignment="1">
      <alignment/>
    </xf>
    <xf numFmtId="44" fontId="0" fillId="33" borderId="12" xfId="0" applyNumberFormat="1" applyFill="1" applyBorder="1" applyAlignment="1">
      <alignment/>
    </xf>
    <xf numFmtId="44" fontId="0" fillId="33" borderId="13" xfId="0" applyNumberFormat="1" applyFill="1" applyBorder="1" applyAlignment="1">
      <alignment/>
    </xf>
    <xf numFmtId="0" fontId="0" fillId="33" borderId="13" xfId="0" applyFont="1" applyFill="1" applyBorder="1" applyAlignment="1">
      <alignment/>
    </xf>
    <xf numFmtId="0" fontId="12" fillId="39" borderId="20" xfId="0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44" fontId="0" fillId="0" borderId="18" xfId="0" applyNumberFormat="1" applyFont="1" applyBorder="1" applyAlignment="1">
      <alignment/>
    </xf>
    <xf numFmtId="44" fontId="0" fillId="38" borderId="0" xfId="0" applyNumberFormat="1" applyFont="1" applyFill="1" applyBorder="1" applyAlignment="1">
      <alignment/>
    </xf>
    <xf numFmtId="186" fontId="0" fillId="0" borderId="0" xfId="0" applyNumberFormat="1" applyAlignment="1">
      <alignment/>
    </xf>
    <xf numFmtId="186" fontId="0" fillId="39" borderId="20" xfId="0" applyNumberFormat="1" applyFill="1" applyBorder="1" applyAlignment="1">
      <alignment/>
    </xf>
    <xf numFmtId="186" fontId="0" fillId="39" borderId="0" xfId="0" applyNumberFormat="1" applyFill="1" applyBorder="1" applyAlignment="1">
      <alignment/>
    </xf>
    <xf numFmtId="186" fontId="0" fillId="38" borderId="0" xfId="0" applyNumberFormat="1" applyFont="1" applyFill="1" applyBorder="1" applyAlignment="1">
      <alignment/>
    </xf>
    <xf numFmtId="186" fontId="0" fillId="38" borderId="0" xfId="0" applyNumberFormat="1" applyFill="1" applyBorder="1" applyAlignment="1">
      <alignment/>
    </xf>
    <xf numFmtId="186" fontId="0" fillId="0" borderId="0" xfId="0" applyNumberForma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0" fillId="41" borderId="0" xfId="0" applyNumberFormat="1" applyFont="1" applyFill="1" applyBorder="1" applyAlignment="1">
      <alignment/>
    </xf>
    <xf numFmtId="186" fontId="0" fillId="33" borderId="0" xfId="0" applyNumberFormat="1" applyFont="1" applyFill="1" applyBorder="1" applyAlignment="1">
      <alignment/>
    </xf>
    <xf numFmtId="0" fontId="6" fillId="38" borderId="13" xfId="0" applyFont="1" applyFill="1" applyBorder="1" applyAlignment="1">
      <alignment/>
    </xf>
    <xf numFmtId="0" fontId="6" fillId="0" borderId="0" xfId="0" applyFont="1" applyAlignment="1">
      <alignment/>
    </xf>
    <xf numFmtId="180" fontId="5" fillId="38" borderId="0" xfId="0" applyNumberFormat="1" applyFont="1" applyFill="1" applyBorder="1" applyAlignment="1">
      <alignment/>
    </xf>
    <xf numFmtId="1" fontId="5" fillId="38" borderId="0" xfId="0" applyNumberFormat="1" applyFont="1" applyFill="1" applyBorder="1" applyAlignment="1">
      <alignment/>
    </xf>
    <xf numFmtId="186" fontId="5" fillId="38" borderId="0" xfId="0" applyNumberFormat="1" applyFont="1" applyFill="1" applyBorder="1" applyAlignment="1">
      <alignment/>
    </xf>
    <xf numFmtId="14" fontId="5" fillId="33" borderId="10" xfId="0" applyNumberFormat="1" applyFont="1" applyFill="1" applyBorder="1" applyAlignment="1">
      <alignment/>
    </xf>
    <xf numFmtId="14" fontId="5" fillId="33" borderId="11" xfId="0" applyNumberFormat="1" applyFont="1" applyFill="1" applyBorder="1" applyAlignment="1">
      <alignment/>
    </xf>
    <xf numFmtId="44" fontId="5" fillId="33" borderId="12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9" fontId="3" fillId="35" borderId="13" xfId="0" applyNumberFormat="1" applyFont="1" applyFill="1" applyBorder="1" applyAlignment="1">
      <alignment/>
    </xf>
    <xf numFmtId="16" fontId="9" fillId="33" borderId="13" xfId="0" applyNumberFormat="1" applyFont="1" applyFill="1" applyBorder="1" applyAlignment="1">
      <alignment/>
    </xf>
    <xf numFmtId="44" fontId="0" fillId="0" borderId="11" xfId="0" applyNumberFormat="1" applyBorder="1" applyAlignment="1">
      <alignment/>
    </xf>
    <xf numFmtId="180" fontId="2" fillId="0" borderId="12" xfId="0" applyNumberFormat="1" applyFont="1" applyBorder="1" applyAlignment="1">
      <alignment/>
    </xf>
    <xf numFmtId="180" fontId="3" fillId="0" borderId="14" xfId="0" applyNumberFormat="1" applyFont="1" applyBorder="1" applyAlignment="1">
      <alignment/>
    </xf>
    <xf numFmtId="180" fontId="2" fillId="0" borderId="14" xfId="0" applyNumberFormat="1" applyFont="1" applyBorder="1" applyAlignment="1">
      <alignment/>
    </xf>
    <xf numFmtId="180" fontId="9" fillId="16" borderId="14" xfId="0" applyNumberFormat="1" applyFont="1" applyFill="1" applyBorder="1" applyAlignment="1">
      <alignment/>
    </xf>
    <xf numFmtId="180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44" fontId="1" fillId="0" borderId="14" xfId="0" applyNumberFormat="1" applyFont="1" applyBorder="1" applyAlignment="1">
      <alignment/>
    </xf>
    <xf numFmtId="44" fontId="9" fillId="18" borderId="34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0" fontId="0" fillId="33" borderId="19" xfId="0" applyFont="1" applyFill="1" applyBorder="1" applyAlignment="1">
      <alignment/>
    </xf>
    <xf numFmtId="44" fontId="0" fillId="33" borderId="21" xfId="0" applyNumberFormat="1" applyFill="1" applyBorder="1" applyAlignment="1">
      <alignment/>
    </xf>
    <xf numFmtId="1" fontId="3" fillId="39" borderId="14" xfId="0" applyNumberFormat="1" applyFont="1" applyFill="1" applyBorder="1" applyAlignment="1">
      <alignment/>
    </xf>
    <xf numFmtId="14" fontId="15" fillId="39" borderId="14" xfId="0" applyNumberFormat="1" applyFont="1" applyFill="1" applyBorder="1" applyAlignment="1">
      <alignment/>
    </xf>
    <xf numFmtId="0" fontId="0" fillId="38" borderId="18" xfId="0" applyFont="1" applyFill="1" applyBorder="1" applyAlignment="1">
      <alignment/>
    </xf>
    <xf numFmtId="44" fontId="0" fillId="38" borderId="16" xfId="0" applyNumberFormat="1" applyFont="1" applyFill="1" applyBorder="1" applyAlignment="1">
      <alignment/>
    </xf>
    <xf numFmtId="186" fontId="6" fillId="33" borderId="11" xfId="0" applyNumberFormat="1" applyFont="1" applyFill="1" applyBorder="1" applyAlignment="1">
      <alignment/>
    </xf>
    <xf numFmtId="186" fontId="0" fillId="33" borderId="11" xfId="0" applyNumberForma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41" borderId="18" xfId="0" applyFont="1" applyFill="1" applyBorder="1" applyAlignment="1">
      <alignment/>
    </xf>
    <xf numFmtId="186" fontId="6" fillId="41" borderId="18" xfId="0" applyNumberFormat="1" applyFont="1" applyFill="1" applyBorder="1" applyAlignment="1">
      <alignment/>
    </xf>
    <xf numFmtId="186" fontId="0" fillId="41" borderId="18" xfId="0" applyNumberFormat="1" applyFill="1" applyBorder="1" applyAlignment="1">
      <alignment/>
    </xf>
    <xf numFmtId="0" fontId="6" fillId="41" borderId="16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44" fontId="9" fillId="38" borderId="20" xfId="0" applyNumberFormat="1" applyFont="1" applyFill="1" applyBorder="1" applyAlignment="1">
      <alignment/>
    </xf>
    <xf numFmtId="0" fontId="9" fillId="38" borderId="35" xfId="0" applyFont="1" applyFill="1" applyBorder="1" applyAlignment="1">
      <alignment/>
    </xf>
    <xf numFmtId="0" fontId="9" fillId="38" borderId="36" xfId="0" applyFont="1" applyFill="1" applyBorder="1" applyAlignment="1">
      <alignment/>
    </xf>
    <xf numFmtId="1" fontId="9" fillId="38" borderId="36" xfId="0" applyNumberFormat="1" applyFont="1" applyFill="1" applyBorder="1" applyAlignment="1">
      <alignment/>
    </xf>
    <xf numFmtId="186" fontId="9" fillId="38" borderId="36" xfId="0" applyNumberFormat="1" applyFont="1" applyFill="1" applyBorder="1" applyAlignment="1">
      <alignment/>
    </xf>
    <xf numFmtId="44" fontId="9" fillId="38" borderId="37" xfId="0" applyNumberFormat="1" applyFont="1" applyFill="1" applyBorder="1" applyAlignment="1">
      <alignment/>
    </xf>
    <xf numFmtId="0" fontId="0" fillId="38" borderId="38" xfId="0" applyFill="1" applyBorder="1" applyAlignment="1">
      <alignment/>
    </xf>
    <xf numFmtId="186" fontId="0" fillId="38" borderId="18" xfId="0" applyNumberFormat="1" applyFill="1" applyBorder="1" applyAlignment="1">
      <alignment/>
    </xf>
    <xf numFmtId="180" fontId="6" fillId="33" borderId="10" xfId="0" applyNumberFormat="1" applyFont="1" applyFill="1" applyBorder="1" applyAlignment="1">
      <alignment/>
    </xf>
    <xf numFmtId="0" fontId="6" fillId="41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44" fontId="0" fillId="0" borderId="21" xfId="0" applyNumberFormat="1" applyBorder="1" applyAlignment="1">
      <alignment/>
    </xf>
    <xf numFmtId="0" fontId="9" fillId="13" borderId="10" xfId="0" applyFont="1" applyFill="1" applyBorder="1" applyAlignment="1">
      <alignment/>
    </xf>
    <xf numFmtId="44" fontId="9" fillId="13" borderId="12" xfId="0" applyNumberFormat="1" applyFont="1" applyFill="1" applyBorder="1" applyAlignment="1">
      <alignment/>
    </xf>
    <xf numFmtId="0" fontId="9" fillId="13" borderId="13" xfId="0" applyFont="1" applyFill="1" applyBorder="1" applyAlignment="1">
      <alignment/>
    </xf>
    <xf numFmtId="180" fontId="9" fillId="13" borderId="14" xfId="0" applyNumberFormat="1" applyFont="1" applyFill="1" applyBorder="1" applyAlignment="1">
      <alignment/>
    </xf>
    <xf numFmtId="44" fontId="9" fillId="13" borderId="14" xfId="0" applyNumberFormat="1" applyFont="1" applyFill="1" applyBorder="1" applyAlignment="1">
      <alignment/>
    </xf>
    <xf numFmtId="0" fontId="9" fillId="13" borderId="14" xfId="0" applyFont="1" applyFill="1" applyBorder="1" applyAlignment="1">
      <alignment/>
    </xf>
    <xf numFmtId="0" fontId="9" fillId="13" borderId="19" xfId="0" applyFont="1" applyFill="1" applyBorder="1" applyAlignment="1">
      <alignment/>
    </xf>
    <xf numFmtId="180" fontId="9" fillId="13" borderId="21" xfId="0" applyNumberFormat="1" applyFont="1" applyFill="1" applyBorder="1" applyAlignment="1">
      <alignment/>
    </xf>
    <xf numFmtId="0" fontId="6" fillId="41" borderId="10" xfId="0" applyFont="1" applyFill="1" applyBorder="1" applyAlignment="1">
      <alignment/>
    </xf>
    <xf numFmtId="44" fontId="6" fillId="41" borderId="11" xfId="0" applyNumberFormat="1" applyFont="1" applyFill="1" applyBorder="1" applyAlignment="1">
      <alignment/>
    </xf>
    <xf numFmtId="44" fontId="6" fillId="41" borderId="18" xfId="0" applyNumberFormat="1" applyFont="1" applyFill="1" applyBorder="1" applyAlignment="1">
      <alignment/>
    </xf>
    <xf numFmtId="16" fontId="0" fillId="0" borderId="0" xfId="0" applyNumberFormat="1" applyAlignment="1">
      <alignment/>
    </xf>
    <xf numFmtId="0" fontId="0" fillId="42" borderId="0" xfId="0" applyFill="1" applyBorder="1" applyAlignment="1">
      <alignment/>
    </xf>
    <xf numFmtId="0" fontId="0" fillId="42" borderId="0" xfId="0" applyFont="1" applyFill="1" applyBorder="1" applyAlignment="1">
      <alignment/>
    </xf>
    <xf numFmtId="0" fontId="0" fillId="43" borderId="0" xfId="0" applyFont="1" applyFill="1" applyBorder="1" applyAlignment="1">
      <alignment/>
    </xf>
    <xf numFmtId="0" fontId="0" fillId="43" borderId="0" xfId="0" applyFill="1" applyBorder="1" applyAlignment="1">
      <alignment/>
    </xf>
    <xf numFmtId="0" fontId="0" fillId="43" borderId="0" xfId="0" applyFill="1" applyAlignment="1">
      <alignment/>
    </xf>
    <xf numFmtId="0" fontId="10" fillId="40" borderId="0" xfId="0" applyFont="1" applyFill="1" applyBorder="1" applyAlignment="1">
      <alignment/>
    </xf>
    <xf numFmtId="0" fontId="5" fillId="40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ont="1" applyFill="1" applyAlignment="1">
      <alignment/>
    </xf>
    <xf numFmtId="0" fontId="0" fillId="33" borderId="0" xfId="0" applyFont="1" applyFill="1" applyBorder="1" applyAlignment="1">
      <alignment/>
    </xf>
    <xf numFmtId="14" fontId="3" fillId="34" borderId="13" xfId="0" applyNumberFormat="1" applyFont="1" applyFill="1" applyBorder="1" applyAlignment="1">
      <alignment/>
    </xf>
    <xf numFmtId="14" fontId="3" fillId="34" borderId="0" xfId="0" applyNumberFormat="1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14" fontId="3" fillId="34" borderId="19" xfId="0" applyNumberFormat="1" applyFont="1" applyFill="1" applyBorder="1" applyAlignment="1">
      <alignment/>
    </xf>
    <xf numFmtId="14" fontId="3" fillId="34" borderId="20" xfId="0" applyNumberFormat="1" applyFont="1" applyFill="1" applyBorder="1" applyAlignment="1">
      <alignment/>
    </xf>
    <xf numFmtId="170" fontId="5" fillId="34" borderId="21" xfId="0" applyNumberFormat="1" applyFont="1" applyFill="1" applyBorder="1" applyAlignment="1">
      <alignment/>
    </xf>
    <xf numFmtId="14" fontId="3" fillId="35" borderId="10" xfId="0" applyNumberFormat="1" applyFont="1" applyFill="1" applyBorder="1" applyAlignment="1">
      <alignment/>
    </xf>
    <xf numFmtId="44" fontId="0" fillId="0" borderId="14" xfId="0" applyNumberFormat="1" applyFont="1" applyFill="1" applyBorder="1" applyAlignment="1">
      <alignment/>
    </xf>
    <xf numFmtId="14" fontId="4" fillId="0" borderId="13" xfId="0" applyNumberFormat="1" applyFont="1" applyFill="1" applyBorder="1" applyAlignment="1">
      <alignment/>
    </xf>
    <xf numFmtId="44" fontId="0" fillId="0" borderId="11" xfId="0" applyNumberFormat="1" applyFont="1" applyBorder="1" applyAlignment="1">
      <alignment/>
    </xf>
    <xf numFmtId="44" fontId="6" fillId="0" borderId="0" xfId="0" applyNumberFormat="1" applyFont="1" applyBorder="1" applyAlignment="1">
      <alignment/>
    </xf>
    <xf numFmtId="44" fontId="5" fillId="0" borderId="19" xfId="0" applyNumberFormat="1" applyFont="1" applyBorder="1" applyAlignment="1">
      <alignment/>
    </xf>
    <xf numFmtId="44" fontId="11" fillId="0" borderId="0" xfId="0" applyNumberFormat="1" applyFont="1" applyFill="1" applyAlignment="1">
      <alignment/>
    </xf>
    <xf numFmtId="44" fontId="0" fillId="33" borderId="0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9" fillId="0" borderId="0" xfId="0" applyFont="1" applyFill="1" applyBorder="1" applyAlignment="1">
      <alignment/>
    </xf>
    <xf numFmtId="44" fontId="9" fillId="0" borderId="0" xfId="0" applyNumberFormat="1" applyFont="1" applyFill="1" applyBorder="1" applyAlignment="1">
      <alignment/>
    </xf>
    <xf numFmtId="180" fontId="0" fillId="38" borderId="13" xfId="0" applyNumberFormat="1" applyFont="1" applyFill="1" applyBorder="1" applyAlignment="1">
      <alignment/>
    </xf>
    <xf numFmtId="0" fontId="0" fillId="38" borderId="13" xfId="0" applyFill="1" applyBorder="1" applyAlignment="1">
      <alignment/>
    </xf>
    <xf numFmtId="0" fontId="9" fillId="33" borderId="17" xfId="0" applyFont="1" applyFill="1" applyBorder="1" applyAlignment="1">
      <alignment/>
    </xf>
    <xf numFmtId="44" fontId="9" fillId="33" borderId="18" xfId="0" applyNumberFormat="1" applyFont="1" applyFill="1" applyBorder="1" applyAlignment="1">
      <alignment/>
    </xf>
    <xf numFmtId="0" fontId="23" fillId="12" borderId="13" xfId="0" applyFont="1" applyFill="1" applyBorder="1" applyAlignment="1">
      <alignment/>
    </xf>
    <xf numFmtId="44" fontId="23" fillId="12" borderId="13" xfId="0" applyNumberFormat="1" applyFont="1" applyFill="1" applyBorder="1" applyAlignment="1">
      <alignment/>
    </xf>
    <xf numFmtId="44" fontId="23" fillId="12" borderId="17" xfId="0" applyNumberFormat="1" applyFont="1" applyFill="1" applyBorder="1" applyAlignment="1">
      <alignment/>
    </xf>
    <xf numFmtId="0" fontId="23" fillId="12" borderId="10" xfId="0" applyFont="1" applyFill="1" applyBorder="1" applyAlignment="1">
      <alignment/>
    </xf>
    <xf numFmtId="14" fontId="3" fillId="33" borderId="10" xfId="0" applyNumberFormat="1" applyFont="1" applyFill="1" applyBorder="1" applyAlignment="1">
      <alignment/>
    </xf>
    <xf numFmtId="14" fontId="3" fillId="33" borderId="11" xfId="0" applyNumberFormat="1" applyFont="1" applyFill="1" applyBorder="1" applyAlignment="1">
      <alignment/>
    </xf>
    <xf numFmtId="170" fontId="5" fillId="33" borderId="12" xfId="0" applyNumberFormat="1" applyFont="1" applyFill="1" applyBorder="1" applyAlignment="1">
      <alignment/>
    </xf>
    <xf numFmtId="14" fontId="3" fillId="33" borderId="17" xfId="0" applyNumberFormat="1" applyFont="1" applyFill="1" applyBorder="1" applyAlignment="1">
      <alignment/>
    </xf>
    <xf numFmtId="14" fontId="3" fillId="33" borderId="18" xfId="0" applyNumberFormat="1" applyFont="1" applyFill="1" applyBorder="1" applyAlignment="1">
      <alignment/>
    </xf>
    <xf numFmtId="14" fontId="0" fillId="0" borderId="0" xfId="0" applyNumberFormat="1" applyFill="1" applyBorder="1" applyAlignment="1">
      <alignment/>
    </xf>
    <xf numFmtId="44" fontId="11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44" fontId="2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44" fontId="65" fillId="0" borderId="0" xfId="0" applyNumberFormat="1" applyFont="1" applyFill="1" applyBorder="1" applyAlignment="1">
      <alignment/>
    </xf>
    <xf numFmtId="170" fontId="3" fillId="33" borderId="13" xfId="0" applyNumberFormat="1" applyFont="1" applyFill="1" applyBorder="1" applyAlignment="1">
      <alignment/>
    </xf>
    <xf numFmtId="44" fontId="5" fillId="40" borderId="14" xfId="0" applyNumberFormat="1" applyFont="1" applyFill="1" applyBorder="1" applyAlignment="1">
      <alignment/>
    </xf>
    <xf numFmtId="44" fontId="9" fillId="40" borderId="1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4" fontId="5" fillId="40" borderId="0" xfId="0" applyNumberFormat="1" applyFont="1" applyFill="1" applyBorder="1" applyAlignment="1">
      <alignment/>
    </xf>
    <xf numFmtId="44" fontId="0" fillId="38" borderId="0" xfId="0" applyNumberFormat="1" applyFill="1" applyBorder="1" applyAlignment="1">
      <alignment/>
    </xf>
    <xf numFmtId="44" fontId="5" fillId="38" borderId="0" xfId="0" applyNumberFormat="1" applyFont="1" applyFill="1" applyBorder="1" applyAlignment="1">
      <alignment/>
    </xf>
    <xf numFmtId="186" fontId="0" fillId="0" borderId="0" xfId="0" applyNumberFormat="1" applyBorder="1" applyAlignment="1">
      <alignment/>
    </xf>
    <xf numFmtId="186" fontId="9" fillId="18" borderId="29" xfId="0" applyNumberFormat="1" applyFont="1" applyFill="1" applyBorder="1" applyAlignment="1">
      <alignment/>
    </xf>
    <xf numFmtId="186" fontId="5" fillId="16" borderId="0" xfId="0" applyNumberFormat="1" applyFont="1" applyFill="1" applyBorder="1" applyAlignment="1">
      <alignment/>
    </xf>
    <xf numFmtId="44" fontId="9" fillId="4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44" fontId="6" fillId="0" borderId="18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86" fontId="6" fillId="0" borderId="18" xfId="0" applyNumberFormat="1" applyFont="1" applyFill="1" applyBorder="1" applyAlignment="1">
      <alignment/>
    </xf>
    <xf numFmtId="186" fontId="0" fillId="0" borderId="18" xfId="0" applyNumberForma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38" borderId="23" xfId="0" applyFill="1" applyBorder="1" applyAlignment="1">
      <alignment/>
    </xf>
    <xf numFmtId="0" fontId="6" fillId="0" borderId="0" xfId="0" applyFont="1" applyFill="1" applyBorder="1" applyAlignment="1">
      <alignment/>
    </xf>
    <xf numFmtId="44" fontId="6" fillId="0" borderId="0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0" fontId="9" fillId="0" borderId="0" xfId="0" applyNumberFormat="1" applyFont="1" applyFill="1" applyBorder="1" applyAlignment="1">
      <alignment/>
    </xf>
    <xf numFmtId="0" fontId="5" fillId="0" borderId="14" xfId="0" applyFont="1" applyBorder="1" applyAlignment="1">
      <alignment/>
    </xf>
    <xf numFmtId="0" fontId="0" fillId="0" borderId="21" xfId="0" applyBorder="1" applyAlignment="1">
      <alignment/>
    </xf>
    <xf numFmtId="0" fontId="9" fillId="38" borderId="10" xfId="0" applyFont="1" applyFill="1" applyBorder="1" applyAlignment="1">
      <alignment/>
    </xf>
    <xf numFmtId="44" fontId="9" fillId="38" borderId="11" xfId="0" applyNumberFormat="1" applyFont="1" applyFill="1" applyBorder="1" applyAlignment="1">
      <alignment/>
    </xf>
    <xf numFmtId="1" fontId="9" fillId="38" borderId="11" xfId="0" applyNumberFormat="1" applyFont="1" applyFill="1" applyBorder="1" applyAlignment="1">
      <alignment/>
    </xf>
    <xf numFmtId="186" fontId="9" fillId="38" borderId="11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38" borderId="22" xfId="0" applyFill="1" applyBorder="1" applyAlignment="1">
      <alignment/>
    </xf>
    <xf numFmtId="0" fontId="0" fillId="38" borderId="11" xfId="0" applyFill="1" applyBorder="1" applyAlignment="1">
      <alignment/>
    </xf>
    <xf numFmtId="1" fontId="0" fillId="38" borderId="11" xfId="0" applyNumberFormat="1" applyFill="1" applyBorder="1" applyAlignment="1">
      <alignment/>
    </xf>
    <xf numFmtId="186" fontId="0" fillId="38" borderId="11" xfId="0" applyNumberForma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22" xfId="0" applyFill="1" applyBorder="1" applyAlignment="1">
      <alignment/>
    </xf>
    <xf numFmtId="0" fontId="0" fillId="39" borderId="23" xfId="0" applyFill="1" applyBorder="1" applyAlignment="1">
      <alignment/>
    </xf>
    <xf numFmtId="180" fontId="3" fillId="39" borderId="23" xfId="0" applyNumberFormat="1" applyFont="1" applyFill="1" applyBorder="1" applyAlignment="1">
      <alignment/>
    </xf>
    <xf numFmtId="0" fontId="9" fillId="38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38" xfId="0" applyFill="1" applyBorder="1" applyAlignment="1">
      <alignment/>
    </xf>
    <xf numFmtId="180" fontId="0" fillId="0" borderId="14" xfId="0" applyNumberFormat="1" applyFont="1" applyFill="1" applyBorder="1" applyAlignment="1">
      <alignment/>
    </xf>
    <xf numFmtId="44" fontId="0" fillId="0" borderId="16" xfId="0" applyNumberFormat="1" applyFont="1" applyBorder="1" applyAlignment="1">
      <alignment/>
    </xf>
    <xf numFmtId="44" fontId="0" fillId="0" borderId="12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186" fontId="9" fillId="18" borderId="34" xfId="0" applyNumberFormat="1" applyFont="1" applyFill="1" applyBorder="1" applyAlignment="1">
      <alignment/>
    </xf>
    <xf numFmtId="186" fontId="0" fillId="0" borderId="14" xfId="0" applyNumberFormat="1" applyBorder="1" applyAlignment="1">
      <alignment/>
    </xf>
    <xf numFmtId="44" fontId="3" fillId="0" borderId="14" xfId="0" applyNumberFormat="1" applyFont="1" applyFill="1" applyBorder="1" applyAlignment="1">
      <alignment/>
    </xf>
    <xf numFmtId="170" fontId="5" fillId="34" borderId="0" xfId="0" applyNumberFormat="1" applyFont="1" applyFill="1" applyBorder="1" applyAlignment="1">
      <alignment/>
    </xf>
    <xf numFmtId="0" fontId="5" fillId="40" borderId="18" xfId="0" applyFont="1" applyFill="1" applyBorder="1" applyAlignment="1">
      <alignment/>
    </xf>
    <xf numFmtId="0" fontId="0" fillId="40" borderId="18" xfId="0" applyFill="1" applyBorder="1" applyAlignment="1">
      <alignment/>
    </xf>
    <xf numFmtId="44" fontId="0" fillId="42" borderId="0" xfId="0" applyNumberFormat="1" applyFill="1" applyBorder="1" applyAlignment="1">
      <alignment/>
    </xf>
    <xf numFmtId="14" fontId="5" fillId="40" borderId="0" xfId="0" applyNumberFormat="1" applyFont="1" applyFill="1" applyBorder="1" applyAlignment="1">
      <alignment/>
    </xf>
    <xf numFmtId="15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15" fontId="5" fillId="19" borderId="17" xfId="0" applyNumberFormat="1" applyFont="1" applyFill="1" applyBorder="1" applyAlignment="1">
      <alignment/>
    </xf>
    <xf numFmtId="0" fontId="5" fillId="19" borderId="18" xfId="0" applyFont="1" applyFill="1" applyBorder="1" applyAlignment="1">
      <alignment/>
    </xf>
    <xf numFmtId="0" fontId="2" fillId="19" borderId="18" xfId="0" applyFont="1" applyFill="1" applyBorder="1" applyAlignment="1">
      <alignment/>
    </xf>
    <xf numFmtId="44" fontId="5" fillId="19" borderId="16" xfId="0" applyNumberFormat="1" applyFont="1" applyFill="1" applyBorder="1" applyAlignment="1">
      <alignment/>
    </xf>
    <xf numFmtId="16" fontId="9" fillId="0" borderId="13" xfId="0" applyNumberFormat="1" applyFont="1" applyBorder="1" applyAlignment="1">
      <alignment/>
    </xf>
    <xf numFmtId="0" fontId="9" fillId="0" borderId="14" xfId="0" applyFont="1" applyBorder="1" applyAlignment="1">
      <alignment/>
    </xf>
    <xf numFmtId="180" fontId="0" fillId="42" borderId="13" xfId="0" applyNumberFormat="1" applyFont="1" applyFill="1" applyBorder="1" applyAlignment="1">
      <alignment/>
    </xf>
    <xf numFmtId="1" fontId="0" fillId="42" borderId="0" xfId="0" applyNumberFormat="1" applyFill="1" applyBorder="1" applyAlignment="1">
      <alignment/>
    </xf>
    <xf numFmtId="44" fontId="0" fillId="42" borderId="14" xfId="0" applyNumberFormat="1" applyFill="1" applyBorder="1" applyAlignment="1">
      <alignment/>
    </xf>
    <xf numFmtId="44" fontId="0" fillId="42" borderId="23" xfId="0" applyNumberFormat="1" applyFill="1" applyBorder="1" applyAlignment="1">
      <alignment/>
    </xf>
    <xf numFmtId="44" fontId="0" fillId="42" borderId="0" xfId="0" applyNumberFormat="1" applyFont="1" applyFill="1" applyBorder="1" applyAlignment="1">
      <alignment/>
    </xf>
    <xf numFmtId="0" fontId="0" fillId="42" borderId="14" xfId="0" applyFill="1" applyBorder="1" applyAlignment="1">
      <alignment/>
    </xf>
    <xf numFmtId="14" fontId="3" fillId="34" borderId="17" xfId="0" applyNumberFormat="1" applyFont="1" applyFill="1" applyBorder="1" applyAlignment="1">
      <alignment/>
    </xf>
    <xf numFmtId="14" fontId="3" fillId="34" borderId="18" xfId="0" applyNumberFormat="1" applyFont="1" applyFill="1" applyBorder="1" applyAlignment="1">
      <alignment/>
    </xf>
    <xf numFmtId="15" fontId="0" fillId="0" borderId="13" xfId="0" applyNumberFormat="1" applyFont="1" applyFill="1" applyBorder="1" applyAlignment="1">
      <alignment/>
    </xf>
    <xf numFmtId="180" fontId="0" fillId="0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/>
    </xf>
    <xf numFmtId="44" fontId="9" fillId="0" borderId="0" xfId="0" applyNumberFormat="1" applyFont="1" applyFill="1" applyAlignment="1">
      <alignment/>
    </xf>
    <xf numFmtId="44" fontId="0" fillId="0" borderId="31" xfId="0" applyNumberFormat="1" applyFont="1" applyBorder="1" applyAlignment="1">
      <alignment/>
    </xf>
    <xf numFmtId="186" fontId="0" fillId="0" borderId="11" xfId="0" applyNumberFormat="1" applyBorder="1" applyAlignment="1">
      <alignment/>
    </xf>
    <xf numFmtId="0" fontId="0" fillId="34" borderId="13" xfId="0" applyFill="1" applyBorder="1" applyAlignment="1">
      <alignment/>
    </xf>
    <xf numFmtId="44" fontId="0" fillId="34" borderId="13" xfId="0" applyNumberFormat="1" applyFill="1" applyBorder="1" applyAlignment="1">
      <alignment/>
    </xf>
    <xf numFmtId="44" fontId="5" fillId="0" borderId="0" xfId="0" applyNumberFormat="1" applyFont="1" applyFill="1" applyAlignment="1">
      <alignment/>
    </xf>
    <xf numFmtId="14" fontId="3" fillId="44" borderId="17" xfId="0" applyNumberFormat="1" applyFont="1" applyFill="1" applyBorder="1" applyAlignment="1">
      <alignment/>
    </xf>
    <xf numFmtId="0" fontId="5" fillId="44" borderId="18" xfId="0" applyFont="1" applyFill="1" applyBorder="1" applyAlignment="1">
      <alignment/>
    </xf>
    <xf numFmtId="0" fontId="0" fillId="44" borderId="18" xfId="0" applyFill="1" applyBorder="1" applyAlignment="1">
      <alignment/>
    </xf>
    <xf numFmtId="44" fontId="0" fillId="40" borderId="0" xfId="0" applyNumberFormat="1" applyFill="1" applyBorder="1" applyAlignment="1">
      <alignment/>
    </xf>
    <xf numFmtId="15" fontId="11" fillId="0" borderId="0" xfId="0" applyNumberFormat="1" applyFont="1" applyFill="1" applyAlignment="1">
      <alignment/>
    </xf>
    <xf numFmtId="0" fontId="0" fillId="40" borderId="0" xfId="0" applyFill="1" applyBorder="1" applyAlignment="1">
      <alignment/>
    </xf>
    <xf numFmtId="44" fontId="5" fillId="0" borderId="1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5" fillId="34" borderId="18" xfId="0" applyNumberFormat="1" applyFont="1" applyFill="1" applyBorder="1" applyAlignment="1">
      <alignment/>
    </xf>
    <xf numFmtId="44" fontId="9" fillId="34" borderId="18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45" borderId="0" xfId="0" applyFill="1" applyAlignment="1">
      <alignment/>
    </xf>
    <xf numFmtId="14" fontId="2" fillId="40" borderId="0" xfId="0" applyNumberFormat="1" applyFont="1" applyFill="1" applyBorder="1" applyAlignment="1">
      <alignment/>
    </xf>
    <xf numFmtId="44" fontId="0" fillId="34" borderId="14" xfId="0" applyNumberFormat="1" applyFill="1" applyBorder="1" applyAlignment="1">
      <alignment/>
    </xf>
    <xf numFmtId="0" fontId="0" fillId="41" borderId="0" xfId="0" applyFill="1" applyBorder="1" applyAlignment="1">
      <alignment/>
    </xf>
    <xf numFmtId="44" fontId="0" fillId="40" borderId="0" xfId="0" applyNumberFormat="1" applyFill="1" applyAlignment="1">
      <alignment/>
    </xf>
    <xf numFmtId="44" fontId="5" fillId="41" borderId="14" xfId="0" applyNumberFormat="1" applyFont="1" applyFill="1" applyBorder="1" applyAlignment="1">
      <alignment/>
    </xf>
    <xf numFmtId="0" fontId="0" fillId="41" borderId="0" xfId="0" applyFont="1" applyFill="1" applyBorder="1" applyAlignment="1">
      <alignment/>
    </xf>
    <xf numFmtId="44" fontId="0" fillId="34" borderId="0" xfId="0" applyNumberFormat="1" applyFont="1" applyFill="1" applyBorder="1" applyAlignment="1">
      <alignment/>
    </xf>
    <xf numFmtId="0" fontId="6" fillId="38" borderId="0" xfId="0" applyFont="1" applyFill="1" applyBorder="1" applyAlignment="1">
      <alignment/>
    </xf>
    <xf numFmtId="44" fontId="0" fillId="0" borderId="13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186" fontId="1" fillId="0" borderId="0" xfId="0" applyNumberFormat="1" applyFont="1" applyFill="1" applyBorder="1" applyAlignment="1">
      <alignment/>
    </xf>
    <xf numFmtId="0" fontId="3" fillId="0" borderId="39" xfId="0" applyFont="1" applyBorder="1" applyAlignment="1">
      <alignment horizontal="left"/>
    </xf>
    <xf numFmtId="180" fontId="3" fillId="0" borderId="40" xfId="0" applyNumberFormat="1" applyFon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" fillId="0" borderId="39" xfId="0" applyFont="1" applyBorder="1" applyAlignment="1">
      <alignment/>
    </xf>
    <xf numFmtId="44" fontId="0" fillId="0" borderId="40" xfId="0" applyNumberFormat="1" applyBorder="1" applyAlignment="1">
      <alignment/>
    </xf>
    <xf numFmtId="0" fontId="0" fillId="0" borderId="39" xfId="0" applyFont="1" applyBorder="1" applyAlignment="1">
      <alignment/>
    </xf>
    <xf numFmtId="14" fontId="0" fillId="0" borderId="39" xfId="0" applyNumberFormat="1" applyBorder="1" applyAlignment="1">
      <alignment/>
    </xf>
    <xf numFmtId="14" fontId="0" fillId="0" borderId="39" xfId="0" applyNumberFormat="1" applyFont="1" applyBorder="1" applyAlignment="1">
      <alignment/>
    </xf>
    <xf numFmtId="186" fontId="0" fillId="0" borderId="40" xfId="0" applyNumberForma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42" xfId="0" applyBorder="1" applyAlignment="1">
      <alignment/>
    </xf>
    <xf numFmtId="186" fontId="1" fillId="0" borderId="40" xfId="0" applyNumberFormat="1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0" fontId="5" fillId="18" borderId="43" xfId="0" applyFont="1" applyFill="1" applyBorder="1" applyAlignment="1">
      <alignment/>
    </xf>
    <xf numFmtId="0" fontId="5" fillId="18" borderId="26" xfId="0" applyFont="1" applyFill="1" applyBorder="1" applyAlignment="1">
      <alignment/>
    </xf>
    <xf numFmtId="44" fontId="5" fillId="18" borderId="26" xfId="0" applyNumberFormat="1" applyFont="1" applyFill="1" applyBorder="1" applyAlignment="1">
      <alignment/>
    </xf>
    <xf numFmtId="180" fontId="2" fillId="18" borderId="26" xfId="0" applyNumberFormat="1" applyFont="1" applyFill="1" applyBorder="1" applyAlignment="1">
      <alignment/>
    </xf>
    <xf numFmtId="186" fontId="5" fillId="18" borderId="26" xfId="0" applyNumberFormat="1" applyFont="1" applyFill="1" applyBorder="1" applyAlignment="1">
      <alignment/>
    </xf>
    <xf numFmtId="186" fontId="5" fillId="18" borderId="44" xfId="0" applyNumberFormat="1" applyFont="1" applyFill="1" applyBorder="1" applyAlignment="1">
      <alignment/>
    </xf>
    <xf numFmtId="0" fontId="12" fillId="39" borderId="21" xfId="0" applyFont="1" applyFill="1" applyBorder="1" applyAlignment="1">
      <alignment/>
    </xf>
    <xf numFmtId="0" fontId="0" fillId="38" borderId="14" xfId="0" applyFont="1" applyFill="1" applyBorder="1" applyAlignment="1">
      <alignment/>
    </xf>
    <xf numFmtId="0" fontId="6" fillId="38" borderId="17" xfId="0" applyFont="1" applyFill="1" applyBorder="1" applyAlignment="1">
      <alignment/>
    </xf>
    <xf numFmtId="0" fontId="6" fillId="38" borderId="18" xfId="0" applyFont="1" applyFill="1" applyBorder="1" applyAlignment="1">
      <alignment/>
    </xf>
    <xf numFmtId="0" fontId="5" fillId="18" borderId="13" xfId="0" applyFont="1" applyFill="1" applyBorder="1" applyAlignment="1">
      <alignment/>
    </xf>
    <xf numFmtId="0" fontId="5" fillId="18" borderId="0" xfId="0" applyFont="1" applyFill="1" applyBorder="1" applyAlignment="1">
      <alignment/>
    </xf>
    <xf numFmtId="0" fontId="0" fillId="38" borderId="0" xfId="0" applyFill="1" applyAlignment="1">
      <alignment/>
    </xf>
    <xf numFmtId="3" fontId="0" fillId="38" borderId="0" xfId="0" applyNumberFormat="1" applyFont="1" applyFill="1" applyBorder="1" applyAlignment="1">
      <alignment/>
    </xf>
    <xf numFmtId="0" fontId="5" fillId="40" borderId="20" xfId="0" applyFont="1" applyFill="1" applyBorder="1" applyAlignment="1">
      <alignment/>
    </xf>
    <xf numFmtId="0" fontId="0" fillId="40" borderId="12" xfId="0" applyFill="1" applyBorder="1" applyAlignment="1">
      <alignment/>
    </xf>
    <xf numFmtId="0" fontId="4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3" fillId="35" borderId="20" xfId="0" applyFont="1" applyFill="1" applyBorder="1" applyAlignment="1">
      <alignment horizontal="distributed" vertical="distributed"/>
    </xf>
    <xf numFmtId="0" fontId="0" fillId="40" borderId="16" xfId="0" applyFill="1" applyBorder="1" applyAlignment="1">
      <alignment/>
    </xf>
    <xf numFmtId="15" fontId="5" fillId="19" borderId="0" xfId="0" applyNumberFormat="1" applyFont="1" applyFill="1" applyBorder="1" applyAlignment="1">
      <alignment/>
    </xf>
    <xf numFmtId="0" fontId="5" fillId="19" borderId="0" xfId="0" applyFont="1" applyFill="1" applyBorder="1" applyAlignment="1">
      <alignment/>
    </xf>
    <xf numFmtId="0" fontId="2" fillId="19" borderId="0" xfId="0" applyFont="1" applyFill="1" applyBorder="1" applyAlignment="1">
      <alignment/>
    </xf>
    <xf numFmtId="15" fontId="5" fillId="34" borderId="19" xfId="0" applyNumberFormat="1" applyFont="1" applyFill="1" applyBorder="1" applyAlignment="1">
      <alignment/>
    </xf>
    <xf numFmtId="0" fontId="5" fillId="34" borderId="20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44" fontId="5" fillId="34" borderId="21" xfId="0" applyNumberFormat="1" applyFont="1" applyFill="1" applyBorder="1" applyAlignment="1">
      <alignment/>
    </xf>
    <xf numFmtId="15" fontId="5" fillId="19" borderId="13" xfId="0" applyNumberFormat="1" applyFont="1" applyFill="1" applyBorder="1" applyAlignment="1">
      <alignment/>
    </xf>
    <xf numFmtId="44" fontId="5" fillId="19" borderId="14" xfId="0" applyNumberFormat="1" applyFont="1" applyFill="1" applyBorder="1" applyAlignment="1">
      <alignment/>
    </xf>
    <xf numFmtId="14" fontId="3" fillId="35" borderId="19" xfId="0" applyNumberFormat="1" applyFont="1" applyFill="1" applyBorder="1" applyAlignment="1">
      <alignment/>
    </xf>
    <xf numFmtId="14" fontId="5" fillId="40" borderId="20" xfId="0" applyNumberFormat="1" applyFont="1" applyFill="1" applyBorder="1" applyAlignment="1">
      <alignment/>
    </xf>
    <xf numFmtId="0" fontId="0" fillId="40" borderId="21" xfId="0" applyFill="1" applyBorder="1" applyAlignment="1">
      <alignment/>
    </xf>
    <xf numFmtId="14" fontId="2" fillId="40" borderId="19" xfId="0" applyNumberFormat="1" applyFont="1" applyFill="1" applyBorder="1" applyAlignment="1">
      <alignment/>
    </xf>
    <xf numFmtId="44" fontId="5" fillId="40" borderId="20" xfId="0" applyNumberFormat="1" applyFont="1" applyFill="1" applyBorder="1" applyAlignment="1">
      <alignment/>
    </xf>
    <xf numFmtId="44" fontId="5" fillId="40" borderId="21" xfId="0" applyNumberFormat="1" applyFont="1" applyFill="1" applyBorder="1" applyAlignment="1">
      <alignment/>
    </xf>
    <xf numFmtId="15" fontId="5" fillId="33" borderId="11" xfId="0" applyNumberFormat="1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44" fontId="5" fillId="34" borderId="24" xfId="0" applyNumberFormat="1" applyFont="1" applyFill="1" applyBorder="1" applyAlignment="1">
      <alignment/>
    </xf>
    <xf numFmtId="16" fontId="0" fillId="9" borderId="14" xfId="0" applyNumberFormat="1" applyFont="1" applyFill="1" applyBorder="1" applyAlignment="1">
      <alignment/>
    </xf>
    <xf numFmtId="0" fontId="0" fillId="9" borderId="14" xfId="0" applyFill="1" applyBorder="1" applyAlignment="1">
      <alignment/>
    </xf>
    <xf numFmtId="44" fontId="0" fillId="9" borderId="14" xfId="0" applyNumberFormat="1" applyFill="1" applyBorder="1" applyAlignment="1">
      <alignment/>
    </xf>
    <xf numFmtId="44" fontId="9" fillId="9" borderId="14" xfId="0" applyNumberFormat="1" applyFont="1" applyFill="1" applyBorder="1" applyAlignment="1">
      <alignment/>
    </xf>
    <xf numFmtId="44" fontId="0" fillId="9" borderId="16" xfId="0" applyNumberFormat="1" applyFill="1" applyBorder="1" applyAlignment="1">
      <alignment/>
    </xf>
    <xf numFmtId="44" fontId="5" fillId="9" borderId="21" xfId="0" applyNumberFormat="1" applyFont="1" applyFill="1" applyBorder="1" applyAlignment="1">
      <alignment/>
    </xf>
    <xf numFmtId="15" fontId="0" fillId="0" borderId="23" xfId="0" applyNumberFormat="1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44" fontId="0" fillId="19" borderId="23" xfId="0" applyNumberFormat="1" applyFill="1" applyBorder="1" applyAlignment="1">
      <alignment/>
    </xf>
    <xf numFmtId="44" fontId="0" fillId="19" borderId="23" xfId="0" applyNumberFormat="1" applyFont="1" applyFill="1" applyBorder="1" applyAlignment="1">
      <alignment/>
    </xf>
    <xf numFmtId="44" fontId="5" fillId="19" borderId="24" xfId="0" applyNumberFormat="1" applyFont="1" applyFill="1" applyBorder="1" applyAlignment="1">
      <alignment/>
    </xf>
    <xf numFmtId="15" fontId="0" fillId="0" borderId="23" xfId="0" applyNumberFormat="1" applyFont="1" applyBorder="1" applyAlignment="1">
      <alignment/>
    </xf>
    <xf numFmtId="0" fontId="0" fillId="46" borderId="23" xfId="0" applyFont="1" applyFill="1" applyBorder="1" applyAlignment="1">
      <alignment/>
    </xf>
    <xf numFmtId="0" fontId="0" fillId="46" borderId="23" xfId="0" applyFill="1" applyBorder="1" applyAlignment="1">
      <alignment/>
    </xf>
    <xf numFmtId="44" fontId="0" fillId="46" borderId="23" xfId="0" applyNumberFormat="1" applyFill="1" applyBorder="1" applyAlignment="1">
      <alignment/>
    </xf>
    <xf numFmtId="44" fontId="0" fillId="46" borderId="23" xfId="0" applyNumberFormat="1" applyFont="1" applyFill="1" applyBorder="1" applyAlignment="1">
      <alignment/>
    </xf>
    <xf numFmtId="44" fontId="5" fillId="46" borderId="24" xfId="0" applyNumberFormat="1" applyFont="1" applyFill="1" applyBorder="1" applyAlignment="1">
      <alignment/>
    </xf>
    <xf numFmtId="44" fontId="9" fillId="34" borderId="23" xfId="0" applyNumberFormat="1" applyFont="1" applyFill="1" applyBorder="1" applyAlignment="1">
      <alignment/>
    </xf>
    <xf numFmtId="44" fontId="9" fillId="34" borderId="38" xfId="0" applyNumberFormat="1" applyFont="1" applyFill="1" applyBorder="1" applyAlignment="1">
      <alignment/>
    </xf>
    <xf numFmtId="15" fontId="5" fillId="0" borderId="10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44" fontId="5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6" xfId="0" applyFont="1" applyBorder="1" applyAlignment="1">
      <alignment/>
    </xf>
    <xf numFmtId="44" fontId="0" fillId="9" borderId="14" xfId="0" applyNumberFormat="1" applyFont="1" applyFill="1" applyBorder="1" applyAlignment="1">
      <alignment/>
    </xf>
    <xf numFmtId="180" fontId="9" fillId="38" borderId="13" xfId="0" applyNumberFormat="1" applyFont="1" applyFill="1" applyBorder="1" applyAlignment="1">
      <alignment/>
    </xf>
    <xf numFmtId="44" fontId="9" fillId="19" borderId="23" xfId="0" applyNumberFormat="1" applyFont="1" applyFill="1" applyBorder="1" applyAlignment="1">
      <alignment/>
    </xf>
    <xf numFmtId="44" fontId="9" fillId="46" borderId="23" xfId="0" applyNumberFormat="1" applyFont="1" applyFill="1" applyBorder="1" applyAlignment="1">
      <alignment/>
    </xf>
    <xf numFmtId="180" fontId="6" fillId="38" borderId="13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44" fontId="6" fillId="9" borderId="14" xfId="0" applyNumberFormat="1" applyFont="1" applyFill="1" applyBorder="1" applyAlignment="1">
      <alignment/>
    </xf>
    <xf numFmtId="44" fontId="6" fillId="19" borderId="23" xfId="0" applyNumberFormat="1" applyFont="1" applyFill="1" applyBorder="1" applyAlignment="1">
      <alignment/>
    </xf>
    <xf numFmtId="44" fontId="6" fillId="46" borderId="23" xfId="0" applyNumberFormat="1" applyFont="1" applyFill="1" applyBorder="1" applyAlignment="1">
      <alignment/>
    </xf>
    <xf numFmtId="44" fontId="6" fillId="34" borderId="23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180" fontId="19" fillId="0" borderId="12" xfId="0" applyNumberFormat="1" applyFont="1" applyBorder="1" applyAlignment="1">
      <alignment/>
    </xf>
    <xf numFmtId="180" fontId="2" fillId="33" borderId="16" xfId="0" applyNumberFormat="1" applyFont="1" applyFill="1" applyBorder="1" applyAlignment="1">
      <alignment/>
    </xf>
    <xf numFmtId="0" fontId="0" fillId="0" borderId="20" xfId="0" applyBorder="1" applyAlignment="1">
      <alignment/>
    </xf>
    <xf numFmtId="44" fontId="0" fillId="0" borderId="20" xfId="0" applyNumberForma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Font="1" applyBorder="1" applyAlignment="1">
      <alignment/>
    </xf>
    <xf numFmtId="44" fontId="0" fillId="0" borderId="21" xfId="0" applyNumberFormat="1" applyFont="1" applyBorder="1" applyAlignment="1">
      <alignment/>
    </xf>
    <xf numFmtId="0" fontId="5" fillId="40" borderId="19" xfId="0" applyFont="1" applyFill="1" applyBorder="1" applyAlignment="1">
      <alignment/>
    </xf>
    <xf numFmtId="0" fontId="2" fillId="40" borderId="19" xfId="0" applyFont="1" applyFill="1" applyBorder="1" applyAlignment="1">
      <alignment/>
    </xf>
    <xf numFmtId="0" fontId="2" fillId="40" borderId="21" xfId="0" applyFont="1" applyFill="1" applyBorder="1" applyAlignment="1">
      <alignment/>
    </xf>
    <xf numFmtId="0" fontId="5" fillId="40" borderId="21" xfId="0" applyFont="1" applyFill="1" applyBorder="1" applyAlignment="1">
      <alignment/>
    </xf>
    <xf numFmtId="14" fontId="5" fillId="19" borderId="13" xfId="0" applyNumberFormat="1" applyFont="1" applyFill="1" applyBorder="1" applyAlignment="1">
      <alignment/>
    </xf>
    <xf numFmtId="14" fontId="5" fillId="19" borderId="0" xfId="0" applyNumberFormat="1" applyFont="1" applyFill="1" applyBorder="1" applyAlignment="1">
      <alignment/>
    </xf>
    <xf numFmtId="44" fontId="5" fillId="19" borderId="0" xfId="0" applyNumberFormat="1" applyFont="1" applyFill="1" applyBorder="1" applyAlignment="1">
      <alignment/>
    </xf>
    <xf numFmtId="14" fontId="5" fillId="34" borderId="17" xfId="0" applyNumberFormat="1" applyFont="1" applyFill="1" applyBorder="1" applyAlignment="1">
      <alignment/>
    </xf>
    <xf numFmtId="14" fontId="5" fillId="34" borderId="18" xfId="0" applyNumberFormat="1" applyFont="1" applyFill="1" applyBorder="1" applyAlignment="1">
      <alignment/>
    </xf>
    <xf numFmtId="44" fontId="5" fillId="34" borderId="18" xfId="0" applyNumberFormat="1" applyFont="1" applyFill="1" applyBorder="1" applyAlignment="1">
      <alignment/>
    </xf>
    <xf numFmtId="44" fontId="6" fillId="40" borderId="0" xfId="0" applyNumberFormat="1" applyFont="1" applyFill="1" applyBorder="1" applyAlignment="1">
      <alignment/>
    </xf>
    <xf numFmtId="16" fontId="5" fillId="33" borderId="0" xfId="0" applyNumberFormat="1" applyFont="1" applyFill="1" applyBorder="1" applyAlignment="1">
      <alignment/>
    </xf>
    <xf numFmtId="0" fontId="9" fillId="10" borderId="39" xfId="0" applyFont="1" applyFill="1" applyBorder="1" applyAlignment="1">
      <alignment/>
    </xf>
    <xf numFmtId="0" fontId="9" fillId="10" borderId="0" xfId="0" applyFont="1" applyFill="1" applyBorder="1" applyAlignment="1">
      <alignment/>
    </xf>
    <xf numFmtId="44" fontId="9" fillId="10" borderId="0" xfId="0" applyNumberFormat="1" applyFont="1" applyFill="1" applyAlignment="1">
      <alignment/>
    </xf>
    <xf numFmtId="0" fontId="2" fillId="19" borderId="18" xfId="0" applyFont="1" applyFill="1" applyBorder="1" applyAlignment="1">
      <alignment/>
    </xf>
    <xf numFmtId="0" fontId="5" fillId="19" borderId="16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19" borderId="14" xfId="0" applyFont="1" applyFill="1" applyBorder="1" applyAlignment="1">
      <alignment/>
    </xf>
    <xf numFmtId="15" fontId="5" fillId="40" borderId="17" xfId="0" applyNumberFormat="1" applyFont="1" applyFill="1" applyBorder="1" applyAlignment="1">
      <alignment/>
    </xf>
    <xf numFmtId="0" fontId="2" fillId="40" borderId="18" xfId="0" applyFont="1" applyFill="1" applyBorder="1" applyAlignment="1">
      <alignment/>
    </xf>
    <xf numFmtId="0" fontId="5" fillId="40" borderId="16" xfId="0" applyFont="1" applyFill="1" applyBorder="1" applyAlignment="1">
      <alignment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/>
    </xf>
    <xf numFmtId="0" fontId="13" fillId="35" borderId="18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4" fontId="6" fillId="0" borderId="14" xfId="0" applyNumberFormat="1" applyFont="1" applyFill="1" applyBorder="1" applyAlignment="1">
      <alignment/>
    </xf>
    <xf numFmtId="44" fontId="6" fillId="0" borderId="23" xfId="0" applyNumberFormat="1" applyFont="1" applyFill="1" applyBorder="1" applyAlignment="1">
      <alignment/>
    </xf>
    <xf numFmtId="44" fontId="24" fillId="0" borderId="0" xfId="0" applyNumberFormat="1" applyFont="1" applyFill="1" applyAlignment="1">
      <alignment/>
    </xf>
    <xf numFmtId="14" fontId="5" fillId="9" borderId="13" xfId="0" applyNumberFormat="1" applyFont="1" applyFill="1" applyBorder="1" applyAlignment="1">
      <alignment/>
    </xf>
    <xf numFmtId="14" fontId="5" fillId="9" borderId="0" xfId="0" applyNumberFormat="1" applyFont="1" applyFill="1" applyBorder="1" applyAlignment="1">
      <alignment/>
    </xf>
    <xf numFmtId="15" fontId="5" fillId="9" borderId="0" xfId="0" applyNumberFormat="1" applyFont="1" applyFill="1" applyBorder="1" applyAlignment="1">
      <alignment/>
    </xf>
    <xf numFmtId="44" fontId="5" fillId="9" borderId="0" xfId="0" applyNumberFormat="1" applyFont="1" applyFill="1" applyBorder="1" applyAlignment="1">
      <alignment/>
    </xf>
    <xf numFmtId="44" fontId="5" fillId="9" borderId="14" xfId="0" applyNumberFormat="1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19" borderId="14" xfId="0" applyFont="1" applyFill="1" applyBorder="1" applyAlignment="1">
      <alignment/>
    </xf>
    <xf numFmtId="0" fontId="0" fillId="33" borderId="0" xfId="0" applyFont="1" applyFill="1" applyAlignment="1">
      <alignment/>
    </xf>
    <xf numFmtId="4" fontId="5" fillId="33" borderId="14" xfId="0" applyNumberFormat="1" applyFont="1" applyFill="1" applyBorder="1" applyAlignment="1">
      <alignment/>
    </xf>
    <xf numFmtId="4" fontId="5" fillId="19" borderId="14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0" fontId="12" fillId="39" borderId="13" xfId="0" applyFont="1" applyFill="1" applyBorder="1" applyAlignment="1">
      <alignment/>
    </xf>
    <xf numFmtId="180" fontId="2" fillId="33" borderId="14" xfId="0" applyNumberFormat="1" applyFont="1" applyFill="1" applyBorder="1" applyAlignment="1">
      <alignment/>
    </xf>
    <xf numFmtId="44" fontId="0" fillId="0" borderId="13" xfId="0" applyNumberFormat="1" applyFont="1" applyBorder="1" applyAlignment="1">
      <alignment/>
    </xf>
    <xf numFmtId="180" fontId="0" fillId="0" borderId="18" xfId="0" applyNumberFormat="1" applyFont="1" applyFill="1" applyBorder="1" applyAlignment="1">
      <alignment/>
    </xf>
    <xf numFmtId="1" fontId="0" fillId="0" borderId="18" xfId="0" applyNumberFormat="1" applyFill="1" applyBorder="1" applyAlignment="1">
      <alignment/>
    </xf>
    <xf numFmtId="44" fontId="0" fillId="0" borderId="18" xfId="0" applyNumberFormat="1" applyFill="1" applyBorder="1" applyAlignment="1">
      <alignment/>
    </xf>
    <xf numFmtId="0" fontId="0" fillId="0" borderId="45" xfId="0" applyFont="1" applyFill="1" applyBorder="1" applyAlignment="1">
      <alignment/>
    </xf>
    <xf numFmtId="0" fontId="5" fillId="18" borderId="28" xfId="0" applyFont="1" applyFill="1" applyBorder="1" applyAlignment="1">
      <alignment/>
    </xf>
    <xf numFmtId="186" fontId="5" fillId="18" borderId="15" xfId="0" applyNumberFormat="1" applyFont="1" applyFill="1" applyBorder="1" applyAlignment="1">
      <alignment/>
    </xf>
    <xf numFmtId="186" fontId="1" fillId="0" borderId="14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0" fontId="0" fillId="0" borderId="15" xfId="0" applyFont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0" fillId="46" borderId="13" xfId="0" applyFont="1" applyFill="1" applyBorder="1" applyAlignment="1">
      <alignment/>
    </xf>
    <xf numFmtId="44" fontId="6" fillId="0" borderId="13" xfId="0" applyNumberFormat="1" applyFont="1" applyFill="1" applyBorder="1" applyAlignment="1">
      <alignment/>
    </xf>
    <xf numFmtId="44" fontId="0" fillId="46" borderId="13" xfId="0" applyNumberFormat="1" applyFill="1" applyBorder="1" applyAlignment="1">
      <alignment/>
    </xf>
    <xf numFmtId="44" fontId="9" fillId="46" borderId="13" xfId="0" applyNumberFormat="1" applyFont="1" applyFill="1" applyBorder="1" applyAlignment="1">
      <alignment/>
    </xf>
    <xf numFmtId="44" fontId="0" fillId="46" borderId="13" xfId="0" applyNumberFormat="1" applyFont="1" applyFill="1" applyBorder="1" applyAlignment="1">
      <alignment/>
    </xf>
    <xf numFmtId="0" fontId="0" fillId="46" borderId="13" xfId="0" applyFill="1" applyBorder="1" applyAlignment="1">
      <alignment/>
    </xf>
    <xf numFmtId="44" fontId="5" fillId="46" borderId="19" xfId="0" applyNumberFormat="1" applyFont="1" applyFill="1" applyBorder="1" applyAlignment="1">
      <alignment/>
    </xf>
    <xf numFmtId="0" fontId="0" fillId="0" borderId="46" xfId="0" applyBorder="1" applyAlignment="1">
      <alignment/>
    </xf>
    <xf numFmtId="15" fontId="0" fillId="0" borderId="47" xfId="0" applyNumberFormat="1" applyBorder="1" applyAlignment="1">
      <alignment/>
    </xf>
    <xf numFmtId="0" fontId="0" fillId="34" borderId="47" xfId="0" applyFont="1" applyFill="1" applyBorder="1" applyAlignment="1">
      <alignment/>
    </xf>
    <xf numFmtId="0" fontId="0" fillId="0" borderId="47" xfId="0" applyFill="1" applyBorder="1" applyAlignment="1">
      <alignment/>
    </xf>
    <xf numFmtId="44" fontId="0" fillId="0" borderId="47" xfId="0" applyNumberFormat="1" applyFill="1" applyBorder="1" applyAlignment="1">
      <alignment/>
    </xf>
    <xf numFmtId="44" fontId="6" fillId="0" borderId="47" xfId="0" applyNumberFormat="1" applyFont="1" applyFill="1" applyBorder="1" applyAlignment="1">
      <alignment/>
    </xf>
    <xf numFmtId="44" fontId="0" fillId="9" borderId="47" xfId="0" applyNumberFormat="1" applyFill="1" applyBorder="1" applyAlignment="1">
      <alignment/>
    </xf>
    <xf numFmtId="44" fontId="9" fillId="9" borderId="47" xfId="0" applyNumberFormat="1" applyFont="1" applyFill="1" applyBorder="1" applyAlignment="1">
      <alignment/>
    </xf>
    <xf numFmtId="44" fontId="0" fillId="9" borderId="47" xfId="0" applyNumberFormat="1" applyFont="1" applyFill="1" applyBorder="1" applyAlignment="1">
      <alignment/>
    </xf>
    <xf numFmtId="0" fontId="0" fillId="9" borderId="47" xfId="0" applyFill="1" applyBorder="1" applyAlignment="1">
      <alignment/>
    </xf>
    <xf numFmtId="44" fontId="0" fillId="9" borderId="48" xfId="0" applyNumberFormat="1" applyFill="1" applyBorder="1" applyAlignment="1">
      <alignment/>
    </xf>
    <xf numFmtId="44" fontId="5" fillId="9" borderId="49" xfId="0" applyNumberFormat="1" applyFont="1" applyFill="1" applyBorder="1" applyAlignment="1">
      <alignment/>
    </xf>
    <xf numFmtId="0" fontId="0" fillId="40" borderId="0" xfId="0" applyFont="1" applyFill="1" applyBorder="1" applyAlignment="1">
      <alignment/>
    </xf>
    <xf numFmtId="44" fontId="0" fillId="33" borderId="0" xfId="0" applyNumberFormat="1" applyFill="1" applyBorder="1" applyAlignment="1">
      <alignment/>
    </xf>
    <xf numFmtId="0" fontId="5" fillId="19" borderId="13" xfId="0" applyFont="1" applyFill="1" applyBorder="1" applyAlignment="1">
      <alignment/>
    </xf>
    <xf numFmtId="15" fontId="5" fillId="40" borderId="13" xfId="0" applyNumberFormat="1" applyFont="1" applyFill="1" applyBorder="1" applyAlignment="1">
      <alignment/>
    </xf>
    <xf numFmtId="0" fontId="5" fillId="40" borderId="0" xfId="0" applyFont="1" applyFill="1" applyBorder="1" applyAlignment="1">
      <alignment/>
    </xf>
    <xf numFmtId="0" fontId="2" fillId="40" borderId="0" xfId="0" applyFont="1" applyFill="1" applyBorder="1" applyAlignment="1">
      <alignment/>
    </xf>
    <xf numFmtId="16" fontId="0" fillId="0" borderId="0" xfId="0" applyNumberFormat="1" applyFont="1" applyAlignment="1">
      <alignment/>
    </xf>
    <xf numFmtId="44" fontId="3" fillId="0" borderId="0" xfId="0" applyNumberFormat="1" applyFont="1" applyBorder="1" applyAlignment="1">
      <alignment horizontal="left"/>
    </xf>
    <xf numFmtId="44" fontId="0" fillId="12" borderId="0" xfId="0" applyNumberFormat="1" applyFill="1" applyBorder="1" applyAlignment="1">
      <alignment/>
    </xf>
    <xf numFmtId="44" fontId="0" fillId="19" borderId="0" xfId="0" applyNumberFormat="1" applyFont="1" applyFill="1" applyBorder="1" applyAlignment="1">
      <alignment/>
    </xf>
    <xf numFmtId="0" fontId="0" fillId="19" borderId="0" xfId="0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4" fillId="0" borderId="5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14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%20Woudreus\fin%202015\16.02.07%20concept%20jaarrekening%202015%20en%20begroting%20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NME%20Woudreus\fin%202016\17.01.25%20jaarrekening%202016%20en%20begroting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c begr 2016 en jaarrekening "/>
      <sheetName val="begr res  15"/>
      <sheetName val="conc begr 2015 en jaarrek 2014"/>
      <sheetName val="jr 2013"/>
      <sheetName val="jrrek 14 vervallen"/>
      <sheetName val="Blad3"/>
    </sheetNames>
    <sheetDataSet>
      <sheetData sheetId="1">
        <row r="30">
          <cell r="C30">
            <v>4803.51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c begr 2016 en jaarrekening "/>
      <sheetName val="begr res  15"/>
      <sheetName val="conc begr 2015 en jaarrek 2014"/>
      <sheetName val="jr 2013"/>
      <sheetName val="jrrek 14 vervallen"/>
      <sheetName val="Blad3"/>
    </sheetNames>
    <sheetDataSet>
      <sheetData sheetId="1">
        <row r="11">
          <cell r="I11">
            <v>696.17</v>
          </cell>
        </row>
        <row r="12">
          <cell r="G12">
            <v>598.17</v>
          </cell>
          <cell r="H12">
            <v>-182.61</v>
          </cell>
        </row>
        <row r="13">
          <cell r="G13">
            <v>408.81</v>
          </cell>
          <cell r="H13">
            <v>-358.33</v>
          </cell>
        </row>
        <row r="14">
          <cell r="G14">
            <v>218.95</v>
          </cell>
          <cell r="H14">
            <v>-102</v>
          </cell>
        </row>
        <row r="15">
          <cell r="G15">
            <v>2084</v>
          </cell>
        </row>
        <row r="16">
          <cell r="G16">
            <v>4.259999999999934</v>
          </cell>
          <cell r="H16">
            <v>-387.2</v>
          </cell>
          <cell r="I16">
            <v>312.47</v>
          </cell>
        </row>
        <row r="32">
          <cell r="H32">
            <v>696.17</v>
          </cell>
        </row>
        <row r="33">
          <cell r="H33">
            <v>5580.99</v>
          </cell>
        </row>
        <row r="34">
          <cell r="H34">
            <v>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M5" sqref="M5"/>
    </sheetView>
  </sheetViews>
  <sheetFormatPr defaultColWidth="9.140625" defaultRowHeight="12.75"/>
  <cols>
    <col min="1" max="1" width="33.421875" style="0" customWidth="1"/>
    <col min="2" max="2" width="6.28125" style="0" customWidth="1"/>
    <col min="3" max="4" width="20.00390625" style="0" customWidth="1"/>
    <col min="5" max="5" width="6.57421875" style="0" customWidth="1"/>
    <col min="6" max="6" width="35.00390625" style="0" customWidth="1"/>
    <col min="7" max="7" width="7.8515625" style="0" customWidth="1"/>
    <col min="8" max="8" width="16.00390625" style="0" customWidth="1"/>
    <col min="9" max="9" width="17.00390625" style="0" customWidth="1"/>
  </cols>
  <sheetData>
    <row r="1" spans="1:9" ht="17.25">
      <c r="A1" s="294" t="s">
        <v>168</v>
      </c>
      <c r="B1" s="295"/>
      <c r="C1" s="295"/>
      <c r="D1" s="295"/>
      <c r="E1" s="296"/>
      <c r="F1" s="297"/>
      <c r="G1" s="297"/>
      <c r="H1" s="297"/>
      <c r="I1" s="809"/>
    </row>
    <row r="2" spans="1:9" ht="21" thickBot="1">
      <c r="A2" s="857" t="s">
        <v>667</v>
      </c>
      <c r="B2" s="23"/>
      <c r="C2" s="149"/>
      <c r="D2" s="149"/>
      <c r="E2" s="915"/>
      <c r="F2" s="916"/>
      <c r="G2" s="916"/>
      <c r="H2" s="916"/>
      <c r="I2" s="917"/>
    </row>
    <row r="3" spans="1:9" ht="15">
      <c r="A3" s="306"/>
      <c r="B3" s="307"/>
      <c r="C3" s="307"/>
      <c r="D3" s="307"/>
      <c r="E3" s="308"/>
      <c r="F3" s="309"/>
      <c r="G3" s="309"/>
      <c r="H3" s="309"/>
      <c r="I3" s="512"/>
    </row>
    <row r="4" spans="1:9" ht="15">
      <c r="A4" s="900" t="s">
        <v>668</v>
      </c>
      <c r="B4" s="901"/>
      <c r="C4" s="901"/>
      <c r="D4" s="901"/>
      <c r="E4" s="901"/>
      <c r="F4" s="901"/>
      <c r="G4" s="901"/>
      <c r="H4" s="901"/>
      <c r="I4" s="902"/>
    </row>
    <row r="5" spans="1:9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/>
      <c r="I5" s="513"/>
    </row>
    <row r="6" spans="1:9" ht="15">
      <c r="A6" s="213"/>
      <c r="B6" s="39"/>
      <c r="C6" s="656">
        <v>44926</v>
      </c>
      <c r="D6" s="322">
        <v>44561</v>
      </c>
      <c r="E6" s="33"/>
      <c r="F6" s="324"/>
      <c r="G6" s="324"/>
      <c r="H6" s="323">
        <v>44926</v>
      </c>
      <c r="I6" s="325">
        <v>44561</v>
      </c>
    </row>
    <row r="7" spans="1:9" ht="15">
      <c r="A7" s="213"/>
      <c r="B7" s="39"/>
      <c r="C7" s="24"/>
      <c r="D7" s="39"/>
      <c r="E7" s="33"/>
      <c r="F7" s="324"/>
      <c r="G7" s="324"/>
      <c r="H7" s="24"/>
      <c r="I7" s="58"/>
    </row>
    <row r="8" spans="1:9" ht="15">
      <c r="A8" s="213" t="s">
        <v>522</v>
      </c>
      <c r="B8" s="39"/>
      <c r="C8" s="214">
        <f>'31 dec 2020'!C13</f>
        <v>0</v>
      </c>
      <c r="D8" s="215">
        <v>0</v>
      </c>
      <c r="E8" s="33"/>
      <c r="F8" s="388" t="s">
        <v>631</v>
      </c>
      <c r="G8" s="388"/>
      <c r="H8" s="388">
        <f>-SUM(H10:H18)+H20</f>
        <v>820.46000000001</v>
      </c>
      <c r="I8" s="515">
        <f>'31 dec 2021'!G24</f>
        <v>820.460000000009</v>
      </c>
    </row>
    <row r="9" spans="1:9" ht="15">
      <c r="A9" s="213" t="s">
        <v>293</v>
      </c>
      <c r="B9" s="39"/>
      <c r="C9" s="214">
        <f>'31 dec 2022'!A12</f>
        <v>6814.780000000009</v>
      </c>
      <c r="D9" s="215">
        <f>'jaarrekening 2021'!C9</f>
        <v>9805.36</v>
      </c>
      <c r="E9" s="33"/>
      <c r="F9" s="331"/>
      <c r="G9" s="331"/>
      <c r="H9" s="24"/>
      <c r="I9" s="58"/>
    </row>
    <row r="10" spans="1:9" ht="15">
      <c r="A10" s="711"/>
      <c r="B10" s="24"/>
      <c r="C10" s="214"/>
      <c r="D10" s="215"/>
      <c r="E10" s="33"/>
      <c r="F10" s="331"/>
      <c r="G10" s="401"/>
      <c r="H10" s="869"/>
      <c r="I10" s="842"/>
    </row>
    <row r="11" spans="1:9" ht="15">
      <c r="A11" s="237"/>
      <c r="B11" s="24"/>
      <c r="C11" s="214"/>
      <c r="D11" s="215"/>
      <c r="E11" s="33"/>
      <c r="F11" s="331" t="str">
        <f>'31 dec 2019'!E19</f>
        <v>*Reservering diversen</v>
      </c>
      <c r="G11" s="401">
        <f>'31 dec 2019'!F19</f>
        <v>4</v>
      </c>
      <c r="H11" s="235">
        <f>'31 dec 2022'!H12</f>
        <v>-38.710000000000036</v>
      </c>
      <c r="I11" s="265">
        <f>'jaarrekening 2021'!H11</f>
        <v>80.7</v>
      </c>
    </row>
    <row r="12" spans="1:9" ht="15">
      <c r="A12" s="213" t="s">
        <v>73</v>
      </c>
      <c r="B12" s="39"/>
      <c r="C12" s="214">
        <f>'31 dec 2022'!A17</f>
        <v>10864.530000000002</v>
      </c>
      <c r="D12" s="215">
        <f>'jaarrekening 2021'!D12</f>
        <v>12999.529999999999</v>
      </c>
      <c r="E12" s="33"/>
      <c r="F12" s="331"/>
      <c r="G12" s="401"/>
      <c r="H12" s="587"/>
      <c r="I12" s="578"/>
    </row>
    <row r="13" spans="1:9" ht="15">
      <c r="A13" s="711"/>
      <c r="B13" s="214"/>
      <c r="C13" s="215"/>
      <c r="D13" s="24"/>
      <c r="E13" s="33"/>
      <c r="F13" s="331" t="str">
        <f>'31 dec 2019'!E22</f>
        <v>*Te besteden 50 dingen boekje</v>
      </c>
      <c r="G13" s="401">
        <f>'31 dec 2019'!F22</f>
        <v>7</v>
      </c>
      <c r="H13" s="252">
        <f>'31 dec 2022'!H14</f>
        <v>10864.530000000002</v>
      </c>
      <c r="I13" s="578">
        <f>'jaarrekening 2021'!H13</f>
        <v>12121.650000000001</v>
      </c>
    </row>
    <row r="14" spans="1:9" ht="15">
      <c r="A14" s="237"/>
      <c r="B14" s="24"/>
      <c r="C14" s="24"/>
      <c r="D14" s="24"/>
      <c r="E14" s="33"/>
      <c r="F14" s="331" t="str">
        <f>'31 dec 2019'!E23</f>
        <v>*Basisonderwijs/st. Ronde Venen fonds</v>
      </c>
      <c r="G14" s="401">
        <f>'31 dec 2019'!F23</f>
        <v>8</v>
      </c>
      <c r="H14" s="252">
        <f>'31 dec 2022'!H16</f>
        <v>3183.1499999999996</v>
      </c>
      <c r="I14" s="578">
        <f>'31 dec 2021'!H16</f>
        <v>8503.84</v>
      </c>
    </row>
    <row r="15" spans="1:9" ht="15">
      <c r="A15" s="238"/>
      <c r="B15" s="224"/>
      <c r="C15" s="224"/>
      <c r="D15" s="24"/>
      <c r="E15" s="33"/>
      <c r="F15" s="331"/>
      <c r="G15" s="401"/>
      <c r="H15" s="252"/>
      <c r="I15" s="578"/>
    </row>
    <row r="16" spans="1:9" ht="15">
      <c r="A16" s="238"/>
      <c r="B16" s="224"/>
      <c r="C16" s="224"/>
      <c r="D16" s="24"/>
      <c r="E16" s="33"/>
      <c r="F16" s="331"/>
      <c r="G16" s="401"/>
      <c r="H16" s="235"/>
      <c r="I16" s="265"/>
    </row>
    <row r="17" spans="1:9" ht="15">
      <c r="A17" s="213"/>
      <c r="B17" s="39"/>
      <c r="C17" s="39"/>
      <c r="D17" s="24"/>
      <c r="E17" s="33"/>
      <c r="F17" s="331" t="str">
        <f>'31 dec 2019'!E27</f>
        <v>*Ontwikkeling NME (1)</v>
      </c>
      <c r="G17" s="401">
        <f>'31 dec 2019'!F27</f>
        <v>12</v>
      </c>
      <c r="H17" s="235">
        <f>'31 dec 2022'!H18</f>
        <v>2849.88</v>
      </c>
      <c r="I17" s="265">
        <f>'jaarrekening 2021'!H17</f>
        <v>375.8799999999999</v>
      </c>
    </row>
    <row r="18" spans="1:9" ht="15">
      <c r="A18" s="213"/>
      <c r="B18" s="39"/>
      <c r="C18" s="39"/>
      <c r="D18" s="24"/>
      <c r="E18" s="33"/>
      <c r="F18" s="331" t="str">
        <f>'31 dec 2019'!E28</f>
        <v>Izettle</v>
      </c>
      <c r="G18" s="401">
        <f>'31 dec 2019'!F28</f>
        <v>13</v>
      </c>
      <c r="H18" s="214">
        <f>'proj 2022'!F167</f>
        <v>0</v>
      </c>
      <c r="I18" s="216">
        <f>'jaarrekening 2021'!H18</f>
        <v>24.480000000000018</v>
      </c>
    </row>
    <row r="19" spans="1:9" ht="15" thickBot="1">
      <c r="A19" s="349"/>
      <c r="B19" s="350"/>
      <c r="C19" s="350"/>
      <c r="D19" s="351"/>
      <c r="E19" s="352"/>
      <c r="F19" s="860"/>
      <c r="G19" s="861"/>
      <c r="H19" s="862"/>
      <c r="I19" s="218"/>
    </row>
    <row r="20" spans="1:9" ht="15">
      <c r="A20" s="859" t="s">
        <v>205</v>
      </c>
      <c r="B20" s="215"/>
      <c r="C20" s="215">
        <f>SUM(C8:C14)</f>
        <v>17679.310000000012</v>
      </c>
      <c r="D20" s="215">
        <v>21927.010000000002</v>
      </c>
      <c r="E20" s="33"/>
      <c r="F20" s="39"/>
      <c r="G20" s="39"/>
      <c r="H20" s="215">
        <f>C20</f>
        <v>17679.310000000012</v>
      </c>
      <c r="I20" s="267">
        <v>21927.010000000002</v>
      </c>
    </row>
    <row r="21" spans="1:9" ht="15">
      <c r="A21" s="213"/>
      <c r="B21" s="39"/>
      <c r="C21" s="39"/>
      <c r="D21" s="39"/>
      <c r="E21" s="33"/>
      <c r="F21" s="215"/>
      <c r="G21" s="39"/>
      <c r="H21" s="39"/>
      <c r="I21" s="212"/>
    </row>
    <row r="22" spans="1:9" ht="15" thickBot="1">
      <c r="A22" s="349" t="s">
        <v>412</v>
      </c>
      <c r="B22" s="351"/>
      <c r="C22" s="351"/>
      <c r="D22" s="217">
        <f>C20-D20</f>
        <v>-4247.69999999999</v>
      </c>
      <c r="E22" s="352"/>
      <c r="F22" s="350"/>
      <c r="G22" s="350"/>
      <c r="H22" s="360"/>
      <c r="I22" s="654"/>
    </row>
    <row r="23" spans="1:9" ht="15">
      <c r="A23" s="900"/>
      <c r="B23" s="901"/>
      <c r="C23" s="901"/>
      <c r="D23" s="901"/>
      <c r="E23" s="901"/>
      <c r="F23" s="901"/>
      <c r="G23" s="901"/>
      <c r="H23" s="901"/>
      <c r="I23" s="901"/>
    </row>
    <row r="24" spans="1:9" ht="13.5">
      <c r="A24" s="362"/>
      <c r="B24" s="363"/>
      <c r="C24" s="363"/>
      <c r="D24" s="896"/>
      <c r="E24" s="365"/>
      <c r="F24" s="317"/>
      <c r="G24" s="317"/>
      <c r="H24" s="317"/>
      <c r="I24" s="317"/>
    </row>
    <row r="25" ht="12.75">
      <c r="H25" s="132">
        <f>D22-H40</f>
        <v>1.0913936421275139E-11</v>
      </c>
    </row>
    <row r="26" ht="13.5" thickBot="1"/>
    <row r="27" spans="1:9" ht="15">
      <c r="A27" s="903" t="s">
        <v>669</v>
      </c>
      <c r="B27" s="904"/>
      <c r="C27" s="904"/>
      <c r="D27" s="904"/>
      <c r="E27" s="904"/>
      <c r="F27" s="904"/>
      <c r="G27" s="904"/>
      <c r="H27" s="904"/>
      <c r="I27" s="905"/>
    </row>
    <row r="28" spans="1:9" ht="13.5">
      <c r="A28" s="362" t="s">
        <v>175</v>
      </c>
      <c r="B28" s="363"/>
      <c r="C28" s="363"/>
      <c r="D28" s="363"/>
      <c r="E28" s="365"/>
      <c r="F28" s="317" t="s">
        <v>176</v>
      </c>
      <c r="G28" s="317"/>
      <c r="H28" s="317"/>
      <c r="I28" s="513"/>
    </row>
    <row r="29" spans="1:9" ht="12.75">
      <c r="A29" s="26"/>
      <c r="B29" s="24"/>
      <c r="C29" s="24">
        <v>2022</v>
      </c>
      <c r="D29" s="24">
        <v>2021</v>
      </c>
      <c r="E29" s="368"/>
      <c r="F29" s="24"/>
      <c r="G29" s="24"/>
      <c r="H29" s="24">
        <v>2022</v>
      </c>
      <c r="I29" s="24">
        <v>2021</v>
      </c>
    </row>
    <row r="30" spans="1:9" ht="13.5">
      <c r="A30" s="49"/>
      <c r="B30" s="20"/>
      <c r="C30" s="24"/>
      <c r="D30" s="24"/>
      <c r="E30" s="24"/>
      <c r="F30" s="39"/>
      <c r="G30" s="20"/>
      <c r="H30" s="214"/>
      <c r="I30" s="214"/>
    </row>
    <row r="31" spans="1:9" ht="12.75">
      <c r="A31" s="213" t="s">
        <v>67</v>
      </c>
      <c r="B31" s="224" t="s">
        <v>112</v>
      </c>
      <c r="C31" s="24">
        <f>'jaarekening 2022'!F62</f>
        <v>0</v>
      </c>
      <c r="D31" s="214"/>
      <c r="E31" s="39"/>
      <c r="F31" s="39" t="s">
        <v>211</v>
      </c>
      <c r="G31" s="39" t="s">
        <v>112</v>
      </c>
      <c r="H31" s="214">
        <f>'proj 2022'!F39</f>
        <v>-119.41000000000001</v>
      </c>
      <c r="I31" s="214">
        <v>-119.40000000000002</v>
      </c>
    </row>
    <row r="32" spans="1:9" ht="12.75">
      <c r="A32" s="213"/>
      <c r="B32" s="224"/>
      <c r="C32" s="150"/>
      <c r="D32" s="214"/>
      <c r="E32" s="39"/>
      <c r="F32" s="39" t="str">
        <f>'project 2020'!B41</f>
        <v>Herinrichting Ruimte</v>
      </c>
      <c r="G32" s="224" t="s">
        <v>585</v>
      </c>
      <c r="H32" s="214"/>
      <c r="I32" s="214"/>
    </row>
    <row r="33" spans="1:9" ht="12.75">
      <c r="A33" s="28" t="s">
        <v>83</v>
      </c>
      <c r="B33" s="150" t="s">
        <v>115</v>
      </c>
      <c r="C33" s="252">
        <v>1.28</v>
      </c>
      <c r="D33" s="214">
        <v>11.53</v>
      </c>
      <c r="E33" s="39"/>
      <c r="F33" s="39" t="s">
        <v>83</v>
      </c>
      <c r="G33" s="150" t="s">
        <v>115</v>
      </c>
      <c r="H33" s="214">
        <f>'proj 2022'!F68</f>
        <v>-1258.3999999999999</v>
      </c>
      <c r="I33" s="214">
        <v>-889.41</v>
      </c>
    </row>
    <row r="34" spans="1:9" ht="12.75">
      <c r="A34" s="213" t="s">
        <v>88</v>
      </c>
      <c r="B34" s="150" t="s">
        <v>116</v>
      </c>
      <c r="C34" s="252">
        <f>'proj 2022'!F98</f>
        <v>187.07</v>
      </c>
      <c r="D34" s="214">
        <v>8371.84</v>
      </c>
      <c r="E34" s="39"/>
      <c r="F34" s="322" t="s">
        <v>153</v>
      </c>
      <c r="G34" s="220" t="s">
        <v>116</v>
      </c>
      <c r="H34" s="214">
        <f>'proj 2022'!F94</f>
        <v>-5507.76</v>
      </c>
      <c r="I34" s="214">
        <v>-1118</v>
      </c>
    </row>
    <row r="35" spans="1:9" ht="12.75">
      <c r="A35" s="213"/>
      <c r="B35" s="150"/>
      <c r="C35" s="235"/>
      <c r="D35" s="214"/>
      <c r="E35" s="39"/>
      <c r="F35" s="322"/>
      <c r="G35" s="220"/>
      <c r="H35" s="656"/>
      <c r="I35" s="656"/>
    </row>
    <row r="36" spans="1:9" ht="12.75">
      <c r="A36" s="389" t="s">
        <v>226</v>
      </c>
      <c r="B36" s="220" t="s">
        <v>141</v>
      </c>
      <c r="C36" s="252">
        <f>'proj 2022'!F122</f>
        <v>2474</v>
      </c>
      <c r="D36" s="214">
        <v>351.03</v>
      </c>
      <c r="E36" s="39"/>
      <c r="F36" s="39" t="s">
        <v>226</v>
      </c>
      <c r="G36" s="39" t="s">
        <v>141</v>
      </c>
      <c r="H36" s="214">
        <f>'proj 2022'!F117</f>
        <v>0</v>
      </c>
      <c r="I36" s="214">
        <v>-2250</v>
      </c>
    </row>
    <row r="37" spans="1:9" ht="12.75">
      <c r="A37" s="389" t="s">
        <v>518</v>
      </c>
      <c r="B37" s="224" t="s">
        <v>520</v>
      </c>
      <c r="C37" s="235">
        <f>'proj 2022'!F166</f>
        <v>19.45</v>
      </c>
      <c r="D37" s="508">
        <v>563.58</v>
      </c>
      <c r="E37" s="331"/>
      <c r="F37" s="24" t="str">
        <f>'31 dec 2019'!E28</f>
        <v>Izettle</v>
      </c>
      <c r="G37" s="39" t="s">
        <v>520</v>
      </c>
      <c r="H37" s="214">
        <f>'proj 2022'!F162</f>
        <v>-43.93</v>
      </c>
      <c r="I37" s="214">
        <v>-538.6</v>
      </c>
    </row>
    <row r="38" spans="1:9" ht="12.75">
      <c r="A38" s="863"/>
      <c r="B38" s="726"/>
      <c r="C38" s="24"/>
      <c r="D38" s="726"/>
      <c r="E38" s="338"/>
      <c r="F38" s="335"/>
      <c r="G38" s="335"/>
      <c r="H38" s="335"/>
      <c r="I38" s="335"/>
    </row>
    <row r="39" spans="1:9" ht="15">
      <c r="A39" s="864" t="s">
        <v>219</v>
      </c>
      <c r="B39" s="733"/>
      <c r="C39" s="734">
        <f>SUM(C31:C38)</f>
        <v>2681.7999999999997</v>
      </c>
      <c r="D39" s="734">
        <v>9297.980000000001</v>
      </c>
      <c r="E39" s="735"/>
      <c r="F39" s="733" t="s">
        <v>218</v>
      </c>
      <c r="G39" s="733"/>
      <c r="H39" s="736">
        <f>SUM(H30:H37)</f>
        <v>-6929.5</v>
      </c>
      <c r="I39" s="736">
        <v>-4915.41</v>
      </c>
    </row>
    <row r="40" spans="1:9" ht="15">
      <c r="A40" s="26"/>
      <c r="B40" s="24"/>
      <c r="C40" s="24"/>
      <c r="D40" s="24"/>
      <c r="E40" s="331"/>
      <c r="F40" s="391" t="s">
        <v>670</v>
      </c>
      <c r="G40" s="391"/>
      <c r="H40" s="392">
        <f>C39+H39</f>
        <v>-4247.700000000001</v>
      </c>
      <c r="I40" s="658"/>
    </row>
    <row r="41" spans="1:9" ht="13.5">
      <c r="A41" s="213"/>
      <c r="B41" s="24"/>
      <c r="C41" s="214"/>
      <c r="D41" s="24"/>
      <c r="E41" s="331"/>
      <c r="F41" s="712" t="s">
        <v>629</v>
      </c>
      <c r="G41" s="712"/>
      <c r="H41" s="713"/>
      <c r="I41" s="866">
        <f>D39+I39</f>
        <v>4382.5700000000015</v>
      </c>
    </row>
    <row r="42" spans="1:9" ht="12.75">
      <c r="A42" s="867"/>
      <c r="B42" s="730"/>
      <c r="C42" s="730"/>
      <c r="D42" s="336"/>
      <c r="E42" s="338"/>
      <c r="F42" s="730"/>
      <c r="G42" s="730"/>
      <c r="H42" s="730"/>
      <c r="I42" s="868"/>
    </row>
    <row r="43" spans="1:9" ht="13.5">
      <c r="A43" s="49"/>
      <c r="B43" s="20"/>
      <c r="C43" s="20"/>
      <c r="D43" s="20"/>
      <c r="E43" s="365"/>
      <c r="F43" s="24"/>
      <c r="G43" s="24"/>
      <c r="H43" s="214"/>
      <c r="I43" s="216"/>
    </row>
    <row r="44" spans="1:9" ht="15">
      <c r="A44" s="906" t="s">
        <v>200</v>
      </c>
      <c r="B44" s="907"/>
      <c r="C44" s="907"/>
      <c r="D44" s="907"/>
      <c r="E44" s="907"/>
      <c r="F44" s="907"/>
      <c r="G44" s="907"/>
      <c r="H44" s="907"/>
      <c r="I44" s="908"/>
    </row>
    <row r="45" spans="1:9" ht="13.5">
      <c r="A45" s="380"/>
      <c r="B45" s="381"/>
      <c r="C45" s="381"/>
      <c r="D45" s="381"/>
      <c r="E45" s="365"/>
      <c r="F45" s="24"/>
      <c r="G45" s="24"/>
      <c r="H45" s="24"/>
      <c r="I45" s="58"/>
    </row>
    <row r="46" spans="1:9" ht="12.75">
      <c r="A46" s="909" t="s">
        <v>201</v>
      </c>
      <c r="B46" s="910"/>
      <c r="C46" s="910"/>
      <c r="D46" s="910"/>
      <c r="E46" s="910"/>
      <c r="F46" s="910"/>
      <c r="G46" s="910"/>
      <c r="H46" s="910"/>
      <c r="I46" s="911"/>
    </row>
    <row r="47" spans="1:9" ht="14.25" thickBot="1">
      <c r="A47" s="382"/>
      <c r="B47" s="383"/>
      <c r="C47" s="383"/>
      <c r="D47" s="383"/>
      <c r="E47" s="385"/>
      <c r="F47" s="351"/>
      <c r="G47" s="351"/>
      <c r="H47" s="351"/>
      <c r="I47" s="386"/>
    </row>
  </sheetData>
  <sheetProtection/>
  <mergeCells count="5">
    <mergeCell ref="A4:I4"/>
    <mergeCell ref="A23:I23"/>
    <mergeCell ref="A27:I27"/>
    <mergeCell ref="A44:I44"/>
    <mergeCell ref="A46:I46"/>
  </mergeCells>
  <printOptions/>
  <pageMargins left="0.7" right="0.7" top="0.75" bottom="0.75" header="0.3" footer="0.3"/>
  <pageSetup fitToHeight="1" fitToWidth="1" horizontalDpi="360" verticalDpi="360" orientation="landscape" paperSize="9" scale="7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1"/>
  <sheetViews>
    <sheetView zoomScalePageLayoutView="0" workbookViewId="0" topLeftCell="A190">
      <selection activeCell="H216" sqref="H216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9" max="9" width="18.57421875" style="0" customWidth="1"/>
    <col min="10" max="10" width="22.421875" style="0" customWidth="1"/>
    <col min="11" max="11" width="16.00390625" style="0" customWidth="1"/>
  </cols>
  <sheetData>
    <row r="1" spans="2:11" ht="21">
      <c r="B1" s="171" t="s">
        <v>527</v>
      </c>
      <c r="G1" s="150"/>
      <c r="H1" s="150" t="s">
        <v>360</v>
      </c>
      <c r="K1" s="150"/>
    </row>
    <row r="2" spans="2:11" ht="17.25">
      <c r="B2" s="287">
        <f>'31 dec 2020'!C4</f>
        <v>44196</v>
      </c>
      <c r="G2" s="150"/>
      <c r="H2" s="150"/>
      <c r="K2" s="150"/>
    </row>
    <row r="3" spans="7:11" ht="12.75">
      <c r="G3" s="150"/>
      <c r="H3" s="150"/>
      <c r="K3" s="150"/>
    </row>
    <row r="4" spans="7:11" ht="13.5" thickBot="1">
      <c r="G4" s="150"/>
      <c r="H4" s="150"/>
      <c r="K4" s="150"/>
    </row>
    <row r="5" spans="2:11" ht="13.5" thickBot="1">
      <c r="B5" s="416" t="s">
        <v>130</v>
      </c>
      <c r="C5" s="417"/>
      <c r="D5" s="418"/>
      <c r="G5" s="150"/>
      <c r="H5" s="150"/>
      <c r="K5" s="150"/>
    </row>
    <row r="6" spans="2:11" ht="15">
      <c r="B6" s="255" t="s">
        <v>1</v>
      </c>
      <c r="C6" s="426"/>
      <c r="D6" s="426"/>
      <c r="E6" s="222" t="s">
        <v>110</v>
      </c>
      <c r="F6" s="174" t="s">
        <v>129</v>
      </c>
      <c r="G6" s="150"/>
      <c r="H6" s="150"/>
      <c r="K6" s="150"/>
    </row>
    <row r="7" spans="2:11" ht="15.75" thickBot="1">
      <c r="B7" s="680">
        <v>43830</v>
      </c>
      <c r="C7" s="681" t="s">
        <v>2</v>
      </c>
      <c r="D7" s="681"/>
      <c r="E7" s="106"/>
      <c r="F7" s="107">
        <v>0.02</v>
      </c>
      <c r="G7" s="560"/>
      <c r="H7" s="261" t="s">
        <v>393</v>
      </c>
      <c r="I7" s="567"/>
      <c r="J7" s="567"/>
      <c r="K7" s="189"/>
    </row>
    <row r="8" spans="2:11" ht="15">
      <c r="B8" s="427"/>
      <c r="C8" s="471" t="s">
        <v>528</v>
      </c>
      <c r="D8" s="471"/>
      <c r="E8" s="471"/>
      <c r="F8" s="193"/>
      <c r="G8" s="560"/>
      <c r="H8" s="261"/>
      <c r="I8" s="567"/>
      <c r="J8" s="567"/>
      <c r="K8" s="189"/>
    </row>
    <row r="9" spans="2:11" ht="15">
      <c r="B9" s="427">
        <v>44112</v>
      </c>
      <c r="C9" s="471" t="s">
        <v>553</v>
      </c>
      <c r="D9" s="471"/>
      <c r="E9" s="471"/>
      <c r="F9" s="193">
        <v>-0.02</v>
      </c>
      <c r="G9" s="123" t="s">
        <v>457</v>
      </c>
      <c r="H9" s="261"/>
      <c r="I9" s="567"/>
      <c r="J9" s="567"/>
      <c r="K9" s="189"/>
    </row>
    <row r="10" spans="2:11" ht="15">
      <c r="B10" s="427"/>
      <c r="C10" s="471" t="s">
        <v>529</v>
      </c>
      <c r="D10" s="471"/>
      <c r="E10" s="471"/>
      <c r="F10" s="193">
        <v>0</v>
      </c>
      <c r="G10" s="560"/>
      <c r="H10" s="261"/>
      <c r="I10" s="567"/>
      <c r="J10" s="567"/>
      <c r="K10" s="189"/>
    </row>
    <row r="11" spans="2:11" ht="15.75" thickBot="1">
      <c r="B11" s="680">
        <f>B2</f>
        <v>44196</v>
      </c>
      <c r="C11" s="681" t="s">
        <v>2</v>
      </c>
      <c r="D11" s="681"/>
      <c r="E11" s="106"/>
      <c r="F11" s="118">
        <f>F7+F9</f>
        <v>0</v>
      </c>
      <c r="G11" s="150"/>
      <c r="H11" s="150"/>
      <c r="K11" s="150"/>
    </row>
    <row r="12" spans="2:11" ht="15.75" thickBot="1">
      <c r="B12" s="255" t="s">
        <v>1</v>
      </c>
      <c r="C12" s="24"/>
      <c r="D12" s="24"/>
      <c r="E12" s="24" t="str">
        <f>E6</f>
        <v>nr.1</v>
      </c>
      <c r="F12" s="816" t="s">
        <v>554</v>
      </c>
      <c r="G12" s="763"/>
      <c r="H12" s="816" t="s">
        <v>564</v>
      </c>
      <c r="I12" s="819"/>
      <c r="K12" s="150"/>
    </row>
    <row r="13" spans="2:11" ht="13.5" thickBot="1">
      <c r="B13" s="24"/>
      <c r="C13" s="24"/>
      <c r="D13" s="24"/>
      <c r="E13" s="24"/>
      <c r="F13" s="24"/>
      <c r="G13" s="150"/>
      <c r="H13" s="150"/>
      <c r="K13" s="150"/>
    </row>
    <row r="14" spans="1:11" ht="15.75" thickBot="1">
      <c r="A14" s="121"/>
      <c r="B14" s="429" t="s">
        <v>108</v>
      </c>
      <c r="C14" s="177"/>
      <c r="D14" s="178"/>
      <c r="E14" s="222" t="s">
        <v>109</v>
      </c>
      <c r="F14" s="746" t="s">
        <v>421</v>
      </c>
      <c r="G14" s="747"/>
      <c r="H14" s="150"/>
      <c r="K14" s="150"/>
    </row>
    <row r="15" spans="1:11" ht="15.75" thickBot="1">
      <c r="A15" s="121"/>
      <c r="B15" s="748" t="s">
        <v>0</v>
      </c>
      <c r="C15" s="749"/>
      <c r="D15" s="749"/>
      <c r="E15" s="750" t="s">
        <v>111</v>
      </c>
      <c r="F15" s="661" t="s">
        <v>420</v>
      </c>
      <c r="G15" s="751"/>
      <c r="H15" s="150"/>
      <c r="J15">
        <v>31.440000000000012</v>
      </c>
      <c r="K15" s="150"/>
    </row>
    <row r="16" spans="1:11" ht="15.75" thickBot="1">
      <c r="A16" s="121"/>
      <c r="B16" s="84"/>
      <c r="C16" s="23"/>
      <c r="D16" s="23"/>
      <c r="E16" s="23"/>
      <c r="F16" s="23"/>
      <c r="G16" s="150"/>
      <c r="H16" s="150"/>
      <c r="K16" s="150"/>
    </row>
    <row r="17" spans="1:11" ht="15">
      <c r="A17" s="121"/>
      <c r="B17" s="432" t="s">
        <v>39</v>
      </c>
      <c r="C17" s="177"/>
      <c r="D17" s="177"/>
      <c r="E17" s="222" t="s">
        <v>112</v>
      </c>
      <c r="F17" s="433"/>
      <c r="G17" s="150"/>
      <c r="H17" s="150"/>
      <c r="K17" s="150"/>
    </row>
    <row r="18" spans="2:11" ht="15.75" thickBot="1">
      <c r="B18" s="570">
        <v>43830</v>
      </c>
      <c r="C18" s="571" t="s">
        <v>2</v>
      </c>
      <c r="D18" s="571"/>
      <c r="E18" s="571"/>
      <c r="F18" s="118">
        <f>'project 2019'!F66</f>
        <v>354.98</v>
      </c>
      <c r="G18" s="150"/>
      <c r="H18" s="150"/>
      <c r="I18" s="150"/>
      <c r="J18" s="150"/>
      <c r="K18" s="150"/>
    </row>
    <row r="19" spans="2:11" ht="15">
      <c r="B19" s="665"/>
      <c r="C19" s="666" t="s">
        <v>528</v>
      </c>
      <c r="D19" s="666"/>
      <c r="E19" s="667"/>
      <c r="F19" s="507"/>
      <c r="G19" s="150"/>
      <c r="H19" s="150"/>
      <c r="I19" s="150"/>
      <c r="J19" s="150"/>
      <c r="K19" s="150"/>
    </row>
    <row r="20" spans="2:11" ht="15">
      <c r="B20" s="437">
        <v>43833</v>
      </c>
      <c r="C20" s="191" t="s">
        <v>67</v>
      </c>
      <c r="D20" s="191"/>
      <c r="E20" s="186"/>
      <c r="F20" s="240">
        <v>-9.95</v>
      </c>
      <c r="G20" s="150"/>
      <c r="H20" s="150"/>
      <c r="I20" s="150"/>
      <c r="J20" s="150"/>
      <c r="K20" s="150"/>
    </row>
    <row r="21" spans="2:11" ht="15">
      <c r="B21" s="437">
        <v>43863</v>
      </c>
      <c r="C21" s="191" t="s">
        <v>67</v>
      </c>
      <c r="D21" s="191"/>
      <c r="E21" s="186"/>
      <c r="F21" s="240">
        <v>-9.95</v>
      </c>
      <c r="G21" s="150"/>
      <c r="H21" s="150"/>
      <c r="I21" s="150"/>
      <c r="J21" s="150"/>
      <c r="K21" s="150"/>
    </row>
    <row r="22" spans="2:11" ht="15">
      <c r="B22" s="437"/>
      <c r="C22" s="191" t="s">
        <v>67</v>
      </c>
      <c r="D22" s="191"/>
      <c r="E22" s="186"/>
      <c r="F22" s="240">
        <v>-9.94</v>
      </c>
      <c r="G22" s="150"/>
      <c r="H22" s="150"/>
      <c r="I22" s="150"/>
      <c r="J22" s="150"/>
      <c r="K22" s="150"/>
    </row>
    <row r="23" spans="2:11" ht="15">
      <c r="B23" s="437">
        <v>43923</v>
      </c>
      <c r="C23" s="191" t="s">
        <v>67</v>
      </c>
      <c r="D23" s="191"/>
      <c r="E23" s="186"/>
      <c r="F23" s="240">
        <v>-9.94</v>
      </c>
      <c r="G23" s="150"/>
      <c r="H23" s="150"/>
      <c r="I23" s="150"/>
      <c r="J23" s="150"/>
      <c r="K23" s="150"/>
    </row>
    <row r="24" spans="2:11" ht="15">
      <c r="B24" s="437">
        <v>43956</v>
      </c>
      <c r="C24" s="191" t="s">
        <v>67</v>
      </c>
      <c r="D24" s="191"/>
      <c r="E24" s="186"/>
      <c r="F24" s="240">
        <v>-9.96</v>
      </c>
      <c r="G24" s="150"/>
      <c r="H24" s="150"/>
      <c r="I24" s="150"/>
      <c r="J24" s="150"/>
      <c r="K24" s="150"/>
    </row>
    <row r="25" spans="2:11" ht="15">
      <c r="B25" s="437">
        <v>43984</v>
      </c>
      <c r="C25" s="191" t="s">
        <v>67</v>
      </c>
      <c r="D25" s="191"/>
      <c r="E25" s="186"/>
      <c r="F25" s="240">
        <v>-9.93</v>
      </c>
      <c r="G25" s="150"/>
      <c r="H25" s="150"/>
      <c r="I25" s="150"/>
      <c r="J25" s="150"/>
      <c r="K25" s="150"/>
    </row>
    <row r="26" spans="2:11" ht="15">
      <c r="B26" s="437">
        <v>44014</v>
      </c>
      <c r="C26" s="191" t="s">
        <v>67</v>
      </c>
      <c r="D26" s="191"/>
      <c r="E26" s="186"/>
      <c r="F26" s="240">
        <v>-9.96</v>
      </c>
      <c r="G26" s="150"/>
      <c r="H26" s="150"/>
      <c r="I26" s="150"/>
      <c r="J26" s="150"/>
      <c r="K26" s="150"/>
    </row>
    <row r="27" spans="2:11" ht="15">
      <c r="B27" s="437">
        <v>44047</v>
      </c>
      <c r="C27" s="191" t="s">
        <v>67</v>
      </c>
      <c r="D27" s="191"/>
      <c r="E27" s="186"/>
      <c r="F27" s="240">
        <v>-9.94</v>
      </c>
      <c r="G27" s="150"/>
      <c r="H27" s="150"/>
      <c r="I27" s="150"/>
      <c r="J27" s="150"/>
      <c r="K27" s="150"/>
    </row>
    <row r="28" spans="2:11" ht="15">
      <c r="B28" s="437">
        <v>44076</v>
      </c>
      <c r="C28" s="191" t="s">
        <v>67</v>
      </c>
      <c r="D28" s="191"/>
      <c r="E28" s="186"/>
      <c r="F28" s="240">
        <v>-9.94</v>
      </c>
      <c r="G28" s="150"/>
      <c r="H28" s="150"/>
      <c r="I28" s="150"/>
      <c r="J28" s="150"/>
      <c r="K28" s="150"/>
    </row>
    <row r="29" spans="2:11" ht="15.75" thickBot="1">
      <c r="B29" s="437">
        <v>44106</v>
      </c>
      <c r="C29" s="191" t="s">
        <v>67</v>
      </c>
      <c r="D29" s="191"/>
      <c r="E29" s="186"/>
      <c r="F29" s="240">
        <v>-9.96</v>
      </c>
      <c r="G29" s="150"/>
      <c r="H29" s="150"/>
      <c r="I29" s="150"/>
      <c r="J29" s="150"/>
      <c r="K29" s="150"/>
    </row>
    <row r="30" spans="2:11" ht="15.75" thickBot="1">
      <c r="B30" s="437">
        <v>44112</v>
      </c>
      <c r="C30" s="191" t="s">
        <v>559</v>
      </c>
      <c r="D30" s="191"/>
      <c r="E30" s="186"/>
      <c r="F30" s="240">
        <v>-235.51</v>
      </c>
      <c r="G30" s="150"/>
      <c r="H30" s="816" t="s">
        <v>565</v>
      </c>
      <c r="I30" s="763"/>
      <c r="J30" s="763"/>
      <c r="K30" s="150"/>
    </row>
    <row r="31" spans="2:11" ht="15">
      <c r="B31" s="437">
        <v>44138</v>
      </c>
      <c r="C31" s="191" t="s">
        <v>67</v>
      </c>
      <c r="D31" s="191"/>
      <c r="E31" s="186"/>
      <c r="F31" s="240">
        <v>-9.95</v>
      </c>
      <c r="G31" s="150"/>
      <c r="H31" s="150"/>
      <c r="I31" s="150"/>
      <c r="J31" s="150"/>
      <c r="K31" s="150"/>
    </row>
    <row r="32" spans="2:11" ht="15">
      <c r="B32" s="437">
        <v>44167</v>
      </c>
      <c r="C32" s="191" t="s">
        <v>67</v>
      </c>
      <c r="D32" s="191"/>
      <c r="E32" s="186"/>
      <c r="F32" s="240">
        <v>-9.95</v>
      </c>
      <c r="G32" s="150"/>
      <c r="H32" s="150"/>
      <c r="I32" s="150"/>
      <c r="J32" s="150"/>
      <c r="K32" s="150"/>
    </row>
    <row r="33" spans="2:11" ht="15.75" thickBot="1">
      <c r="B33" s="668"/>
      <c r="C33" s="669" t="s">
        <v>529</v>
      </c>
      <c r="D33" s="669"/>
      <c r="E33" s="670"/>
      <c r="F33" s="671">
        <f>SUM(F19:F32)</f>
        <v>-354.88</v>
      </c>
      <c r="G33" s="150"/>
      <c r="H33" s="150"/>
      <c r="I33" s="150"/>
      <c r="J33" s="150"/>
      <c r="K33" s="150"/>
    </row>
    <row r="34" spans="2:11" ht="15">
      <c r="B34" s="665"/>
      <c r="C34" s="666" t="s">
        <v>530</v>
      </c>
      <c r="D34" s="666"/>
      <c r="E34" s="667"/>
      <c r="F34" s="507"/>
      <c r="G34" s="150"/>
      <c r="H34" s="150"/>
      <c r="I34" s="460"/>
      <c r="J34" s="460"/>
      <c r="K34" s="150"/>
    </row>
    <row r="35" spans="2:11" ht="15.75" thickBot="1">
      <c r="B35" s="668"/>
      <c r="C35" s="669" t="s">
        <v>532</v>
      </c>
      <c r="D35" s="669"/>
      <c r="E35" s="670"/>
      <c r="F35" s="671">
        <f>SUM(F34:F34)</f>
        <v>0</v>
      </c>
      <c r="G35" s="150"/>
      <c r="H35" s="150"/>
      <c r="I35" s="235"/>
      <c r="J35" s="235"/>
      <c r="K35" s="150"/>
    </row>
    <row r="36" spans="2:11" ht="15.75" thickBot="1">
      <c r="B36" s="111">
        <f>B2</f>
        <v>44196</v>
      </c>
      <c r="C36" s="105" t="s">
        <v>2</v>
      </c>
      <c r="D36" s="105"/>
      <c r="E36" s="572"/>
      <c r="F36" s="112">
        <f>F18+F33+F35</f>
        <v>0.10000000000002274</v>
      </c>
      <c r="G36" s="150"/>
      <c r="H36" s="150"/>
      <c r="I36" s="235"/>
      <c r="J36" s="235"/>
      <c r="K36" s="150"/>
    </row>
    <row r="37" spans="2:11" ht="28.5" customHeight="1">
      <c r="B37" s="130"/>
      <c r="C37" s="117"/>
      <c r="D37" s="117"/>
      <c r="E37" s="573"/>
      <c r="F37" s="131"/>
      <c r="G37" s="150"/>
      <c r="H37" s="150"/>
      <c r="I37" s="235"/>
      <c r="J37" s="235"/>
      <c r="K37" s="150"/>
    </row>
    <row r="38" spans="2:11" ht="15">
      <c r="B38" s="130"/>
      <c r="C38" s="117"/>
      <c r="D38" s="117"/>
      <c r="E38" s="573"/>
      <c r="F38" s="131"/>
      <c r="G38" s="150"/>
      <c r="H38" s="150"/>
      <c r="I38" s="235"/>
      <c r="J38" s="235"/>
      <c r="K38" s="150"/>
    </row>
    <row r="39" spans="2:11" ht="15">
      <c r="B39" s="473"/>
      <c r="C39" s="149"/>
      <c r="D39" s="149"/>
      <c r="E39" s="698"/>
      <c r="F39" s="227"/>
      <c r="G39" s="150"/>
      <c r="H39" s="150"/>
      <c r="I39" s="235"/>
      <c r="J39" s="235"/>
      <c r="K39" s="150"/>
    </row>
    <row r="40" spans="2:11" ht="15.75" thickBot="1">
      <c r="B40" s="473"/>
      <c r="C40" s="149"/>
      <c r="D40" s="149"/>
      <c r="E40" s="698"/>
      <c r="F40" s="227"/>
      <c r="G40" s="150"/>
      <c r="H40" s="150"/>
      <c r="I40" s="235"/>
      <c r="J40" s="235"/>
      <c r="K40" s="150"/>
    </row>
    <row r="41" spans="1:11" ht="15">
      <c r="A41" s="108"/>
      <c r="B41" s="255" t="s">
        <v>95</v>
      </c>
      <c r="C41" s="203"/>
      <c r="D41" s="178"/>
      <c r="E41" s="222" t="s">
        <v>114</v>
      </c>
      <c r="F41" s="197"/>
      <c r="G41" s="150"/>
      <c r="H41" s="150"/>
      <c r="I41" s="235"/>
      <c r="J41" s="235"/>
      <c r="K41" s="150"/>
    </row>
    <row r="42" spans="2:11" ht="15.75" thickBot="1">
      <c r="B42" s="570">
        <v>43830</v>
      </c>
      <c r="C42" s="571" t="s">
        <v>2</v>
      </c>
      <c r="D42" s="571"/>
      <c r="E42" s="571"/>
      <c r="F42" s="118">
        <f>'project 2019'!F77</f>
        <v>31.44</v>
      </c>
      <c r="G42" s="150"/>
      <c r="H42" s="150"/>
      <c r="I42" s="235"/>
      <c r="J42" s="235"/>
      <c r="K42" s="150"/>
    </row>
    <row r="43" spans="2:11" ht="15.75" thickBot="1">
      <c r="B43" s="665"/>
      <c r="C43" s="666" t="s">
        <v>528</v>
      </c>
      <c r="D43" s="666"/>
      <c r="E43" s="667"/>
      <c r="F43" s="507"/>
      <c r="G43" s="150"/>
      <c r="H43" s="150"/>
      <c r="I43" s="235"/>
      <c r="J43" s="235"/>
      <c r="K43" s="150"/>
    </row>
    <row r="44" spans="2:11" ht="15.75" thickBot="1">
      <c r="B44" s="437">
        <v>44112</v>
      </c>
      <c r="C44" s="827">
        <v>44477</v>
      </c>
      <c r="D44" s="191"/>
      <c r="E44" s="186"/>
      <c r="F44" s="240">
        <v>-31.44</v>
      </c>
      <c r="G44" s="150"/>
      <c r="H44" s="816" t="s">
        <v>565</v>
      </c>
      <c r="I44" s="235"/>
      <c r="J44" s="235"/>
      <c r="K44" s="150"/>
    </row>
    <row r="45" spans="2:11" ht="15.75" thickBot="1">
      <c r="B45" s="668"/>
      <c r="C45" s="669" t="s">
        <v>529</v>
      </c>
      <c r="D45" s="669"/>
      <c r="E45" s="670"/>
      <c r="F45" s="671">
        <f>SUM(F43:F44)</f>
        <v>-31.44</v>
      </c>
      <c r="G45" s="150"/>
      <c r="H45" s="150"/>
      <c r="I45" s="235"/>
      <c r="J45" s="235"/>
      <c r="K45" s="150"/>
    </row>
    <row r="46" spans="2:11" ht="15">
      <c r="B46" s="665"/>
      <c r="C46" s="666" t="s">
        <v>530</v>
      </c>
      <c r="D46" s="666"/>
      <c r="E46" s="667"/>
      <c r="F46" s="507"/>
      <c r="G46" s="150"/>
      <c r="H46" s="150"/>
      <c r="I46" s="235"/>
      <c r="J46" s="235"/>
      <c r="K46" s="150"/>
    </row>
    <row r="47" spans="2:11" ht="15" customHeight="1">
      <c r="B47" s="437"/>
      <c r="C47" s="191"/>
      <c r="D47" s="191"/>
      <c r="E47" s="186"/>
      <c r="F47" s="240"/>
      <c r="G47" s="150"/>
      <c r="H47" s="150"/>
      <c r="I47" s="252"/>
      <c r="J47" s="235"/>
      <c r="K47" s="150"/>
    </row>
    <row r="48" spans="2:11" ht="15.75" thickBot="1">
      <c r="B48" s="668"/>
      <c r="C48" s="669" t="s">
        <v>532</v>
      </c>
      <c r="D48" s="669"/>
      <c r="E48" s="670"/>
      <c r="F48" s="671">
        <f>SUM(F46:F47)</f>
        <v>0</v>
      </c>
      <c r="G48" s="150"/>
      <c r="H48" s="150"/>
      <c r="I48" s="252"/>
      <c r="J48" s="235"/>
      <c r="K48" s="150"/>
    </row>
    <row r="49" spans="2:11" ht="15.75" thickBot="1">
      <c r="B49" s="755">
        <f>B2</f>
        <v>44196</v>
      </c>
      <c r="C49" s="756" t="s">
        <v>2</v>
      </c>
      <c r="D49" s="756"/>
      <c r="E49" s="757"/>
      <c r="F49" s="758">
        <f>F42+F45+F48</f>
        <v>0</v>
      </c>
      <c r="G49" s="150"/>
      <c r="H49" s="150"/>
      <c r="I49" s="252"/>
      <c r="J49" s="235"/>
      <c r="K49" s="150"/>
    </row>
    <row r="50" spans="2:11" ht="15">
      <c r="B50" s="791"/>
      <c r="C50" s="792"/>
      <c r="D50" s="792"/>
      <c r="E50" s="793"/>
      <c r="F50" s="794"/>
      <c r="G50" s="150"/>
      <c r="H50" s="150"/>
      <c r="I50" s="252"/>
      <c r="J50" s="235"/>
      <c r="K50" s="150"/>
    </row>
    <row r="51" spans="2:11" ht="13.5" thickBot="1">
      <c r="B51" s="795" t="s">
        <v>131</v>
      </c>
      <c r="C51" s="796"/>
      <c r="D51" s="796"/>
      <c r="E51" s="796"/>
      <c r="F51" s="797"/>
      <c r="G51" s="150"/>
      <c r="H51" s="150"/>
      <c r="I51" s="235"/>
      <c r="J51" s="235"/>
      <c r="K51" s="150"/>
    </row>
    <row r="52" spans="2:11" ht="15">
      <c r="B52" s="439" t="s">
        <v>83</v>
      </c>
      <c r="C52" s="419"/>
      <c r="D52" s="176"/>
      <c r="E52" s="420" t="s">
        <v>115</v>
      </c>
      <c r="F52" s="198"/>
      <c r="G52" s="150"/>
      <c r="H52" s="150"/>
      <c r="I52" s="235"/>
      <c r="J52" s="235"/>
      <c r="K52" s="150"/>
    </row>
    <row r="53" spans="2:11" ht="15">
      <c r="B53" s="450">
        <v>43100</v>
      </c>
      <c r="C53" s="241" t="s">
        <v>422</v>
      </c>
      <c r="D53" s="241"/>
      <c r="E53" s="241"/>
      <c r="F53" s="240">
        <v>7537.84</v>
      </c>
      <c r="G53" s="150"/>
      <c r="H53" s="150"/>
      <c r="I53" s="235"/>
      <c r="J53" s="235"/>
      <c r="K53" s="150"/>
    </row>
    <row r="54" spans="2:11" ht="15">
      <c r="B54" s="427"/>
      <c r="C54" s="471" t="s">
        <v>364</v>
      </c>
      <c r="D54" s="471"/>
      <c r="E54" s="471"/>
      <c r="F54" s="193">
        <v>-2475.85</v>
      </c>
      <c r="G54" s="150"/>
      <c r="H54" s="235"/>
      <c r="K54" s="150"/>
    </row>
    <row r="55" spans="2:11" ht="15">
      <c r="B55" s="427"/>
      <c r="C55" s="471" t="s">
        <v>365</v>
      </c>
      <c r="D55" s="471"/>
      <c r="E55" s="471"/>
      <c r="F55" s="193">
        <v>1.68</v>
      </c>
      <c r="G55" s="150"/>
      <c r="H55" s="235"/>
      <c r="K55" s="150"/>
    </row>
    <row r="56" spans="2:11" ht="15.75" thickBot="1">
      <c r="B56" s="570">
        <v>43465</v>
      </c>
      <c r="C56" s="571" t="s">
        <v>2</v>
      </c>
      <c r="D56" s="571"/>
      <c r="E56" s="571"/>
      <c r="F56" s="118">
        <v>5063.67</v>
      </c>
      <c r="G56" s="150"/>
      <c r="H56" s="235"/>
      <c r="K56" s="150"/>
    </row>
    <row r="57" spans="1:11" ht="15">
      <c r="A57" s="121"/>
      <c r="B57" s="665"/>
      <c r="C57" s="666" t="s">
        <v>424</v>
      </c>
      <c r="D57" s="666"/>
      <c r="E57" s="667"/>
      <c r="F57" s="507"/>
      <c r="G57" s="150"/>
      <c r="H57" s="150"/>
      <c r="K57" s="150"/>
    </row>
    <row r="58" spans="1:11" ht="15">
      <c r="A58" s="121"/>
      <c r="B58" s="437">
        <v>43702</v>
      </c>
      <c r="C58" s="191" t="s">
        <v>471</v>
      </c>
      <c r="D58" s="191"/>
      <c r="E58" s="186"/>
      <c r="F58" s="240">
        <v>-154.88</v>
      </c>
      <c r="G58" s="150"/>
      <c r="H58" s="705" t="s">
        <v>376</v>
      </c>
      <c r="K58" s="150"/>
    </row>
    <row r="59" spans="1:11" ht="15">
      <c r="A59" s="121"/>
      <c r="B59" s="437">
        <v>43713</v>
      </c>
      <c r="C59" s="191" t="s">
        <v>473</v>
      </c>
      <c r="D59" s="191"/>
      <c r="E59" s="186"/>
      <c r="F59" s="240">
        <v>-144.25</v>
      </c>
      <c r="G59" s="150"/>
      <c r="H59" s="705" t="s">
        <v>376</v>
      </c>
      <c r="K59" s="150"/>
    </row>
    <row r="60" spans="1:11" ht="15">
      <c r="A60" s="121"/>
      <c r="B60" s="437">
        <v>43738</v>
      </c>
      <c r="C60" s="191" t="s">
        <v>476</v>
      </c>
      <c r="D60" s="191"/>
      <c r="E60" s="186">
        <v>20190030</v>
      </c>
      <c r="F60" s="240">
        <v>-1863.4</v>
      </c>
      <c r="G60" s="150"/>
      <c r="H60" s="705" t="s">
        <v>376</v>
      </c>
      <c r="K60" s="150"/>
    </row>
    <row r="61" spans="1:11" ht="15">
      <c r="A61" s="121"/>
      <c r="B61" s="437">
        <v>43746</v>
      </c>
      <c r="C61" s="191" t="s">
        <v>477</v>
      </c>
      <c r="D61" s="191"/>
      <c r="E61" s="186"/>
      <c r="F61" s="240">
        <v>-337.63</v>
      </c>
      <c r="G61" s="150"/>
      <c r="H61" s="705" t="s">
        <v>376</v>
      </c>
      <c r="K61" s="150"/>
    </row>
    <row r="62" spans="1:11" ht="15">
      <c r="A62" s="121"/>
      <c r="B62" s="437">
        <v>43781</v>
      </c>
      <c r="C62" s="191" t="s">
        <v>506</v>
      </c>
      <c r="D62" s="191"/>
      <c r="E62" s="186"/>
      <c r="F62" s="240">
        <v>-90</v>
      </c>
      <c r="G62" s="150"/>
      <c r="H62" s="705" t="s">
        <v>376</v>
      </c>
      <c r="K62" s="150"/>
    </row>
    <row r="63" spans="1:11" ht="15">
      <c r="A63" s="121"/>
      <c r="B63" s="437">
        <v>43809</v>
      </c>
      <c r="C63" s="191" t="s">
        <v>507</v>
      </c>
      <c r="D63" s="191"/>
      <c r="E63" s="186"/>
      <c r="F63" s="240">
        <v>-121</v>
      </c>
      <c r="G63" s="150"/>
      <c r="H63" s="705" t="s">
        <v>376</v>
      </c>
      <c r="K63" s="150"/>
    </row>
    <row r="64" spans="1:11" ht="15.75" thickBot="1">
      <c r="A64" s="121"/>
      <c r="B64" s="668"/>
      <c r="C64" s="669" t="s">
        <v>425</v>
      </c>
      <c r="D64" s="669"/>
      <c r="E64" s="670"/>
      <c r="F64" s="671">
        <v>-2711.1600000000003</v>
      </c>
      <c r="G64" s="150"/>
      <c r="H64" s="150"/>
      <c r="K64" s="150"/>
    </row>
    <row r="65" spans="1:11" ht="15">
      <c r="A65" s="121"/>
      <c r="B65" s="665"/>
      <c r="C65" s="666" t="s">
        <v>481</v>
      </c>
      <c r="D65" s="666"/>
      <c r="E65" s="667"/>
      <c r="F65" s="507"/>
      <c r="G65" s="150"/>
      <c r="H65" s="150"/>
      <c r="K65" s="150"/>
    </row>
    <row r="66" spans="1:11" ht="15">
      <c r="A66" s="121"/>
      <c r="B66" s="437">
        <v>43466</v>
      </c>
      <c r="C66" s="241" t="s">
        <v>59</v>
      </c>
      <c r="D66" s="191"/>
      <c r="E66" s="186"/>
      <c r="F66" s="240">
        <v>0.65</v>
      </c>
      <c r="G66" s="150"/>
      <c r="H66" s="705" t="s">
        <v>376</v>
      </c>
      <c r="K66" s="150"/>
    </row>
    <row r="67" spans="1:12" ht="17.25">
      <c r="A67" s="121"/>
      <c r="B67" s="437">
        <v>43500</v>
      </c>
      <c r="C67" s="191" t="s">
        <v>464</v>
      </c>
      <c r="D67" s="191"/>
      <c r="E67" s="186"/>
      <c r="F67" s="240">
        <v>1250</v>
      </c>
      <c r="G67" s="150"/>
      <c r="H67" s="705" t="s">
        <v>376</v>
      </c>
      <c r="I67" s="685"/>
      <c r="J67" s="133"/>
      <c r="K67" s="695"/>
      <c r="L67" s="583"/>
    </row>
    <row r="68" spans="1:12" ht="15">
      <c r="A68" s="121"/>
      <c r="B68" s="437">
        <v>43501</v>
      </c>
      <c r="C68" s="191" t="s">
        <v>164</v>
      </c>
      <c r="D68" s="191"/>
      <c r="E68" s="186"/>
      <c r="F68" s="240">
        <v>10</v>
      </c>
      <c r="G68" s="150"/>
      <c r="H68" s="705" t="s">
        <v>376</v>
      </c>
      <c r="I68" s="133"/>
      <c r="J68" s="133"/>
      <c r="K68" s="480"/>
      <c r="L68" s="133"/>
    </row>
    <row r="69" spans="1:12" ht="15">
      <c r="A69" s="121"/>
      <c r="B69" s="437">
        <v>43523</v>
      </c>
      <c r="C69" s="191" t="s">
        <v>463</v>
      </c>
      <c r="D69" s="191"/>
      <c r="E69" s="186"/>
      <c r="F69" s="240">
        <v>2500</v>
      </c>
      <c r="G69" s="150"/>
      <c r="H69" s="705" t="s">
        <v>376</v>
      </c>
      <c r="I69" s="121"/>
      <c r="J69" s="133"/>
      <c r="K69" s="121"/>
      <c r="L69" s="133"/>
    </row>
    <row r="70" spans="1:12" ht="15">
      <c r="A70" s="121"/>
      <c r="B70" s="437">
        <v>43537</v>
      </c>
      <c r="C70" s="191" t="s">
        <v>461</v>
      </c>
      <c r="D70" s="191"/>
      <c r="E70" s="186"/>
      <c r="F70" s="240">
        <v>1000</v>
      </c>
      <c r="G70" s="150"/>
      <c r="H70" s="705" t="s">
        <v>376</v>
      </c>
      <c r="I70" s="133"/>
      <c r="J70" s="133"/>
      <c r="K70" s="235"/>
      <c r="L70" s="121"/>
    </row>
    <row r="71" spans="1:12" ht="15">
      <c r="A71" s="121"/>
      <c r="B71" s="437">
        <v>43552</v>
      </c>
      <c r="C71" s="191" t="s">
        <v>462</v>
      </c>
      <c r="D71" s="191"/>
      <c r="E71" s="186"/>
      <c r="F71" s="240">
        <v>3500</v>
      </c>
      <c r="G71" s="150"/>
      <c r="H71" s="705" t="s">
        <v>488</v>
      </c>
      <c r="I71" s="133"/>
      <c r="J71" s="133"/>
      <c r="K71" s="685"/>
      <c r="L71" s="121"/>
    </row>
    <row r="72" spans="1:12" ht="15">
      <c r="A72" s="121"/>
      <c r="B72" s="437">
        <v>43773</v>
      </c>
      <c r="C72" s="191" t="s">
        <v>489</v>
      </c>
      <c r="D72" s="191"/>
      <c r="E72" s="186"/>
      <c r="F72" s="608">
        <v>-1000</v>
      </c>
      <c r="G72" s="150"/>
      <c r="H72" s="705" t="s">
        <v>491</v>
      </c>
      <c r="I72" s="706"/>
      <c r="J72" s="133"/>
      <c r="K72" s="121"/>
      <c r="L72" s="121"/>
    </row>
    <row r="73" spans="1:12" ht="15">
      <c r="A73" s="121"/>
      <c r="B73" s="437">
        <v>43552</v>
      </c>
      <c r="C73" s="191" t="s">
        <v>465</v>
      </c>
      <c r="D73" s="191"/>
      <c r="E73" s="186"/>
      <c r="F73" s="240">
        <v>3000</v>
      </c>
      <c r="G73" s="150"/>
      <c r="H73" s="705" t="s">
        <v>376</v>
      </c>
      <c r="I73" s="133"/>
      <c r="J73" s="133"/>
      <c r="K73" s="121"/>
      <c r="L73" s="121"/>
    </row>
    <row r="74" spans="1:12" ht="17.25">
      <c r="A74" s="121"/>
      <c r="B74" s="437">
        <v>43605</v>
      </c>
      <c r="C74" s="191" t="s">
        <v>466</v>
      </c>
      <c r="D74" s="191"/>
      <c r="E74" s="186"/>
      <c r="F74" s="240">
        <v>2250</v>
      </c>
      <c r="G74" s="150"/>
      <c r="H74" s="705" t="s">
        <v>376</v>
      </c>
      <c r="I74" s="133"/>
      <c r="J74" s="133"/>
      <c r="K74" s="583"/>
      <c r="L74" s="121"/>
    </row>
    <row r="75" spans="1:12" ht="17.25">
      <c r="A75" s="121"/>
      <c r="B75" s="437">
        <v>43738</v>
      </c>
      <c r="C75" s="191" t="s">
        <v>492</v>
      </c>
      <c r="D75" s="191"/>
      <c r="E75" s="186"/>
      <c r="F75" s="240">
        <v>4000</v>
      </c>
      <c r="G75" s="150"/>
      <c r="H75" s="705" t="s">
        <v>376</v>
      </c>
      <c r="I75" s="133"/>
      <c r="J75" s="133"/>
      <c r="K75" s="583"/>
      <c r="L75" s="121"/>
    </row>
    <row r="76" spans="1:12" ht="15">
      <c r="A76" s="121"/>
      <c r="B76" s="437">
        <v>43773</v>
      </c>
      <c r="C76" s="191" t="s">
        <v>497</v>
      </c>
      <c r="D76" s="191"/>
      <c r="E76" s="186"/>
      <c r="F76" s="240">
        <v>4000</v>
      </c>
      <c r="G76" s="150"/>
      <c r="H76" s="708" t="s">
        <v>513</v>
      </c>
      <c r="I76" s="133"/>
      <c r="J76" s="133"/>
      <c r="K76" s="121"/>
      <c r="L76" s="121"/>
    </row>
    <row r="77" spans="1:12" ht="15">
      <c r="A77" s="121"/>
      <c r="B77" s="437">
        <v>43773</v>
      </c>
      <c r="C77" s="191" t="s">
        <v>496</v>
      </c>
      <c r="D77" s="191"/>
      <c r="E77" s="186"/>
      <c r="F77" s="240">
        <v>1000</v>
      </c>
      <c r="G77" s="150"/>
      <c r="H77" s="705" t="s">
        <v>498</v>
      </c>
      <c r="I77" s="133"/>
      <c r="J77" s="133"/>
      <c r="K77" s="121"/>
      <c r="L77" s="121"/>
    </row>
    <row r="78" spans="1:12" ht="15.75" thickBot="1">
      <c r="A78" s="121"/>
      <c r="B78" s="668"/>
      <c r="C78" s="669" t="s">
        <v>427</v>
      </c>
      <c r="D78" s="669"/>
      <c r="E78" s="670"/>
      <c r="F78" s="671">
        <v>21510.65</v>
      </c>
      <c r="G78" s="150"/>
      <c r="H78" s="150"/>
      <c r="I78" s="121"/>
      <c r="J78" s="121"/>
      <c r="K78" s="150"/>
      <c r="L78" s="121"/>
    </row>
    <row r="79" spans="1:11" ht="15.75" thickBot="1">
      <c r="A79" s="121"/>
      <c r="B79" s="755">
        <v>43830</v>
      </c>
      <c r="C79" s="756" t="s">
        <v>2</v>
      </c>
      <c r="D79" s="756"/>
      <c r="E79" s="757"/>
      <c r="F79" s="758">
        <v>23863.16</v>
      </c>
      <c r="G79" s="150"/>
      <c r="H79" s="150"/>
      <c r="K79" s="150"/>
    </row>
    <row r="80" spans="1:11" ht="15">
      <c r="A80" s="121"/>
      <c r="B80" s="437"/>
      <c r="C80" s="191" t="s">
        <v>528</v>
      </c>
      <c r="D80" s="191"/>
      <c r="E80" s="186"/>
      <c r="F80" s="240"/>
      <c r="G80" s="150"/>
      <c r="H80" s="150"/>
      <c r="K80" s="150"/>
    </row>
    <row r="81" spans="1:11" ht="15">
      <c r="A81" s="121"/>
      <c r="B81" s="437">
        <v>43848</v>
      </c>
      <c r="C81" s="191" t="s">
        <v>539</v>
      </c>
      <c r="D81" s="191"/>
      <c r="E81" s="186"/>
      <c r="F81" s="240">
        <v>-19.63</v>
      </c>
      <c r="G81" s="150"/>
      <c r="H81" s="150"/>
      <c r="K81" s="150"/>
    </row>
    <row r="82" spans="1:11" ht="15">
      <c r="A82" s="121"/>
      <c r="B82" s="437">
        <v>43874</v>
      </c>
      <c r="C82" s="191" t="s">
        <v>542</v>
      </c>
      <c r="D82" s="191"/>
      <c r="E82" s="186"/>
      <c r="F82" s="240">
        <v>-9198.51</v>
      </c>
      <c r="G82" s="150"/>
      <c r="H82" s="150"/>
      <c r="K82" s="150"/>
    </row>
    <row r="83" spans="1:11" ht="15">
      <c r="A83" s="121"/>
      <c r="B83" s="437">
        <v>43965</v>
      </c>
      <c r="C83" s="191" t="s">
        <v>543</v>
      </c>
      <c r="D83" s="191"/>
      <c r="E83" s="186"/>
      <c r="F83" s="240">
        <v>-32</v>
      </c>
      <c r="G83" s="150"/>
      <c r="H83" s="150"/>
      <c r="K83" s="150"/>
    </row>
    <row r="84" spans="1:11" ht="15">
      <c r="A84" s="121"/>
      <c r="B84" s="437">
        <v>44017</v>
      </c>
      <c r="C84" s="191" t="s">
        <v>544</v>
      </c>
      <c r="D84" s="191"/>
      <c r="E84" s="186"/>
      <c r="F84" s="240">
        <v>-135.05</v>
      </c>
      <c r="G84" s="150"/>
      <c r="H84" s="150"/>
      <c r="K84" s="150"/>
    </row>
    <row r="85" spans="1:11" ht="15">
      <c r="A85" s="121"/>
      <c r="B85" s="437">
        <v>44099</v>
      </c>
      <c r="C85" s="191" t="s">
        <v>547</v>
      </c>
      <c r="D85" s="191"/>
      <c r="E85" s="186"/>
      <c r="F85" s="240">
        <v>-48</v>
      </c>
      <c r="G85" s="150"/>
      <c r="H85" s="150"/>
      <c r="K85" s="150"/>
    </row>
    <row r="86" spans="1:11" ht="15">
      <c r="A86" s="121"/>
      <c r="B86" s="437">
        <v>44099</v>
      </c>
      <c r="C86" s="191" t="s">
        <v>548</v>
      </c>
      <c r="D86" s="191"/>
      <c r="E86" s="186"/>
      <c r="F86" s="240">
        <v>-39.87</v>
      </c>
      <c r="G86" s="150"/>
      <c r="H86" s="150"/>
      <c r="K86" s="150"/>
    </row>
    <row r="87" spans="1:11" ht="15">
      <c r="A87" s="121"/>
      <c r="B87" s="437">
        <v>44099</v>
      </c>
      <c r="C87" s="191" t="s">
        <v>549</v>
      </c>
      <c r="D87" s="191"/>
      <c r="E87" s="186"/>
      <c r="F87" s="240">
        <v>-496.1</v>
      </c>
      <c r="G87" s="150"/>
      <c r="H87" s="150"/>
      <c r="K87" s="150"/>
    </row>
    <row r="88" spans="1:11" ht="15">
      <c r="A88" s="121"/>
      <c r="B88" s="437">
        <v>44109</v>
      </c>
      <c r="C88" s="191" t="s">
        <v>551</v>
      </c>
      <c r="D88" s="191"/>
      <c r="E88" s="186"/>
      <c r="F88" s="240">
        <v>-362.15</v>
      </c>
      <c r="G88" s="122"/>
      <c r="H88" s="150"/>
      <c r="K88" s="150"/>
    </row>
    <row r="89" spans="1:11" ht="15">
      <c r="A89" s="121"/>
      <c r="B89" s="437">
        <v>44113</v>
      </c>
      <c r="C89" s="191" t="s">
        <v>573</v>
      </c>
      <c r="D89" s="191"/>
      <c r="E89" s="186"/>
      <c r="F89" s="240">
        <v>-217.49</v>
      </c>
      <c r="G89" s="122"/>
      <c r="H89" s="224"/>
      <c r="K89" s="150"/>
    </row>
    <row r="90" spans="1:11" ht="15">
      <c r="A90" s="121"/>
      <c r="B90" s="437">
        <v>44124</v>
      </c>
      <c r="C90" s="191" t="s">
        <v>574</v>
      </c>
      <c r="D90" s="191"/>
      <c r="E90" s="186"/>
      <c r="F90" s="240">
        <v>-353.93</v>
      </c>
      <c r="G90" s="122"/>
      <c r="H90" s="150"/>
      <c r="K90" s="150"/>
    </row>
    <row r="91" spans="1:11" ht="16.5" customHeight="1">
      <c r="A91" s="121"/>
      <c r="B91" s="759"/>
      <c r="C91" s="753" t="s">
        <v>529</v>
      </c>
      <c r="D91" s="753"/>
      <c r="E91" s="754"/>
      <c r="F91" s="760">
        <f>SUM(F80:F90)</f>
        <v>-10902.73</v>
      </c>
      <c r="G91" s="150"/>
      <c r="H91" s="150"/>
      <c r="K91" s="150"/>
    </row>
    <row r="92" spans="1:11" ht="15">
      <c r="A92" s="121"/>
      <c r="B92" s="437"/>
      <c r="C92" s="191" t="s">
        <v>530</v>
      </c>
      <c r="D92" s="191"/>
      <c r="E92" s="186"/>
      <c r="F92" s="240"/>
      <c r="G92" s="150"/>
      <c r="H92" s="150"/>
      <c r="K92" s="150"/>
    </row>
    <row r="93" spans="1:11" ht="15">
      <c r="A93" s="121"/>
      <c r="B93" s="437">
        <v>43831</v>
      </c>
      <c r="C93" s="191" t="s">
        <v>59</v>
      </c>
      <c r="D93" s="191"/>
      <c r="E93" s="186"/>
      <c r="F93" s="240">
        <v>1.6</v>
      </c>
      <c r="G93" s="150"/>
      <c r="H93" s="150"/>
      <c r="K93" s="150"/>
    </row>
    <row r="94" spans="1:11" ht="15">
      <c r="A94" s="121"/>
      <c r="B94" s="437">
        <v>44039</v>
      </c>
      <c r="C94" s="191" t="s">
        <v>545</v>
      </c>
      <c r="D94" s="191"/>
      <c r="E94" s="186"/>
      <c r="F94" s="240">
        <v>17.5</v>
      </c>
      <c r="G94" s="150"/>
      <c r="H94" s="150"/>
      <c r="K94" s="150"/>
    </row>
    <row r="95" spans="1:11" ht="15">
      <c r="A95" s="121"/>
      <c r="B95" s="437">
        <v>44113</v>
      </c>
      <c r="C95" s="191" t="s">
        <v>545</v>
      </c>
      <c r="D95" s="191"/>
      <c r="E95" s="186"/>
      <c r="F95" s="240">
        <v>20</v>
      </c>
      <c r="G95" s="122"/>
      <c r="H95" s="150"/>
      <c r="K95" s="150"/>
    </row>
    <row r="96" spans="1:11" ht="15">
      <c r="A96" s="121"/>
      <c r="B96" s="437"/>
      <c r="C96" s="191"/>
      <c r="D96" s="191"/>
      <c r="E96" s="186"/>
      <c r="F96" s="240"/>
      <c r="G96" s="150"/>
      <c r="H96" s="150"/>
      <c r="K96" s="150"/>
    </row>
    <row r="97" spans="1:11" ht="15">
      <c r="A97" s="121"/>
      <c r="B97" s="759"/>
      <c r="C97" s="753" t="s">
        <v>531</v>
      </c>
      <c r="D97" s="753"/>
      <c r="E97" s="754"/>
      <c r="F97" s="760">
        <f>SUM(F92:F96)</f>
        <v>39.1</v>
      </c>
      <c r="G97" s="150"/>
      <c r="H97" s="150"/>
      <c r="K97" s="150"/>
    </row>
    <row r="98" spans="1:11" ht="15.75" thickBot="1">
      <c r="A98" s="121"/>
      <c r="B98" s="111">
        <f>B2</f>
        <v>44196</v>
      </c>
      <c r="C98" s="105" t="s">
        <v>2</v>
      </c>
      <c r="D98" s="105"/>
      <c r="E98" s="572"/>
      <c r="F98" s="112">
        <f>F79+F91+F97</f>
        <v>12999.53</v>
      </c>
      <c r="G98" s="150"/>
      <c r="H98" s="150"/>
      <c r="K98" s="150"/>
    </row>
    <row r="99" spans="1:11" ht="15.75" thickBot="1">
      <c r="A99" s="121"/>
      <c r="B99" s="228"/>
      <c r="C99" s="230"/>
      <c r="D99" s="230"/>
      <c r="E99" s="230"/>
      <c r="F99" s="227"/>
      <c r="G99" s="150"/>
      <c r="H99" s="150"/>
      <c r="K99" s="150"/>
    </row>
    <row r="100" spans="1:11" ht="15">
      <c r="A100" s="108"/>
      <c r="B100" s="255" t="s">
        <v>88</v>
      </c>
      <c r="C100" s="203"/>
      <c r="D100" s="203"/>
      <c r="E100" s="443" t="s">
        <v>116</v>
      </c>
      <c r="F100" s="444"/>
      <c r="G100" s="150"/>
      <c r="H100" s="150"/>
      <c r="K100" s="150"/>
    </row>
    <row r="101" spans="2:11" ht="15.75" thickBot="1">
      <c r="B101" s="570">
        <v>43465</v>
      </c>
      <c r="C101" s="571" t="s">
        <v>2</v>
      </c>
      <c r="D101" s="571"/>
      <c r="E101" s="571"/>
      <c r="F101" s="118">
        <v>1500</v>
      </c>
      <c r="G101" s="563"/>
      <c r="H101" s="150"/>
      <c r="K101" s="150"/>
    </row>
    <row r="102" spans="2:11" ht="15">
      <c r="B102" s="665"/>
      <c r="C102" s="666" t="s">
        <v>424</v>
      </c>
      <c r="D102" s="666"/>
      <c r="E102" s="667"/>
      <c r="F102" s="507"/>
      <c r="G102" s="150"/>
      <c r="H102" s="150"/>
      <c r="K102" s="150"/>
    </row>
    <row r="103" spans="1:11" ht="15">
      <c r="A103" s="481"/>
      <c r="B103" s="437">
        <v>43738</v>
      </c>
      <c r="C103" s="191" t="s">
        <v>474</v>
      </c>
      <c r="D103" s="191"/>
      <c r="E103" s="186"/>
      <c r="F103" s="240">
        <v>-2500</v>
      </c>
      <c r="G103" s="150"/>
      <c r="H103" s="705" t="s">
        <v>376</v>
      </c>
      <c r="K103" s="150"/>
    </row>
    <row r="104" spans="2:11" ht="15.75" thickBot="1">
      <c r="B104" s="668"/>
      <c r="C104" s="669" t="s">
        <v>425</v>
      </c>
      <c r="D104" s="669"/>
      <c r="E104" s="670"/>
      <c r="F104" s="671">
        <v>-2500</v>
      </c>
      <c r="G104" s="150"/>
      <c r="H104" s="150"/>
      <c r="K104" s="150"/>
    </row>
    <row r="105" spans="2:11" ht="15">
      <c r="B105" s="665"/>
      <c r="C105" s="666" t="s">
        <v>482</v>
      </c>
      <c r="D105" s="666"/>
      <c r="E105" s="667"/>
      <c r="F105" s="507"/>
      <c r="G105" s="150"/>
      <c r="H105" s="150"/>
      <c r="K105" s="150"/>
    </row>
    <row r="106" spans="2:11" ht="15">
      <c r="B106" s="437">
        <v>43702</v>
      </c>
      <c r="C106" s="191" t="s">
        <v>493</v>
      </c>
      <c r="D106" s="191"/>
      <c r="E106" s="186"/>
      <c r="F106" s="240">
        <v>5000</v>
      </c>
      <c r="G106" s="150" t="s">
        <v>472</v>
      </c>
      <c r="H106" s="705" t="s">
        <v>499</v>
      </c>
      <c r="K106" s="150"/>
    </row>
    <row r="107" spans="2:11" ht="15">
      <c r="B107" s="437">
        <v>43773</v>
      </c>
      <c r="C107" s="191" t="s">
        <v>511</v>
      </c>
      <c r="D107" s="191"/>
      <c r="E107" s="186"/>
      <c r="F107" s="608">
        <v>-4000</v>
      </c>
      <c r="G107" s="696"/>
      <c r="H107" s="696" t="s">
        <v>494</v>
      </c>
      <c r="K107" s="150"/>
    </row>
    <row r="108" spans="2:11" ht="15">
      <c r="B108" s="437">
        <v>43773</v>
      </c>
      <c r="C108" s="191" t="s">
        <v>512</v>
      </c>
      <c r="D108" s="191"/>
      <c r="E108" s="186"/>
      <c r="F108" s="608">
        <v>-1000</v>
      </c>
      <c r="G108" s="696"/>
      <c r="H108" s="696" t="s">
        <v>495</v>
      </c>
      <c r="K108" s="150"/>
    </row>
    <row r="109" spans="2:11" ht="15">
      <c r="B109" s="437">
        <v>43780</v>
      </c>
      <c r="C109" s="191" t="s">
        <v>490</v>
      </c>
      <c r="D109" s="191"/>
      <c r="E109" s="186"/>
      <c r="F109" s="240">
        <v>2250</v>
      </c>
      <c r="G109" s="150"/>
      <c r="H109" s="705" t="s">
        <v>376</v>
      </c>
      <c r="K109" s="150"/>
    </row>
    <row r="110" spans="2:11" ht="15.75" thickBot="1">
      <c r="B110" s="668"/>
      <c r="C110" s="669" t="s">
        <v>427</v>
      </c>
      <c r="D110" s="669"/>
      <c r="E110" s="670"/>
      <c r="F110" s="671">
        <v>2250</v>
      </c>
      <c r="G110" s="150"/>
      <c r="H110" s="150"/>
      <c r="K110" s="150"/>
    </row>
    <row r="111" spans="2:11" ht="15.75" thickBot="1">
      <c r="B111" s="111">
        <v>43830</v>
      </c>
      <c r="C111" s="105" t="s">
        <v>2</v>
      </c>
      <c r="D111" s="105"/>
      <c r="E111" s="572"/>
      <c r="F111" s="112">
        <v>1250</v>
      </c>
      <c r="G111" s="150"/>
      <c r="H111" s="150"/>
      <c r="K111" s="150"/>
    </row>
    <row r="112" spans="2:11" ht="15">
      <c r="B112" s="665"/>
      <c r="C112" s="666" t="s">
        <v>528</v>
      </c>
      <c r="D112" s="666"/>
      <c r="E112" s="667"/>
      <c r="F112" s="507"/>
      <c r="G112" s="150"/>
      <c r="H112" s="150"/>
      <c r="K112" s="150"/>
    </row>
    <row r="113" spans="2:11" ht="15">
      <c r="B113" s="437"/>
      <c r="C113" s="191"/>
      <c r="D113" s="191"/>
      <c r="E113" s="186"/>
      <c r="F113" s="240"/>
      <c r="G113" s="150"/>
      <c r="H113" s="150"/>
      <c r="K113" s="150"/>
    </row>
    <row r="114" spans="2:11" ht="15">
      <c r="B114" s="437"/>
      <c r="C114" s="191"/>
      <c r="D114" s="191"/>
      <c r="E114" s="186"/>
      <c r="F114" s="240"/>
      <c r="G114" s="150"/>
      <c r="H114" s="150"/>
      <c r="K114" s="150"/>
    </row>
    <row r="115" spans="2:11" ht="15">
      <c r="B115" s="759"/>
      <c r="C115" s="753" t="s">
        <v>533</v>
      </c>
      <c r="D115" s="753"/>
      <c r="E115" s="754"/>
      <c r="F115" s="760">
        <f>SUM(F112:F114)</f>
        <v>0</v>
      </c>
      <c r="G115" s="150"/>
      <c r="H115" s="150"/>
      <c r="K115" s="150"/>
    </row>
    <row r="116" spans="2:11" ht="15">
      <c r="B116" s="437"/>
      <c r="C116" s="191" t="s">
        <v>530</v>
      </c>
      <c r="D116" s="191"/>
      <c r="E116" s="186"/>
      <c r="F116" s="240"/>
      <c r="G116" s="150"/>
      <c r="H116" s="150"/>
      <c r="K116" s="150"/>
    </row>
    <row r="117" spans="2:11" ht="15">
      <c r="B117" s="437"/>
      <c r="C117" s="191"/>
      <c r="D117" s="191"/>
      <c r="E117" s="186"/>
      <c r="F117" s="240"/>
      <c r="G117" s="150"/>
      <c r="H117" s="150"/>
      <c r="K117" s="150"/>
    </row>
    <row r="118" spans="2:11" ht="15">
      <c r="B118" s="437"/>
      <c r="C118" s="191"/>
      <c r="D118" s="191"/>
      <c r="E118" s="186"/>
      <c r="F118" s="240"/>
      <c r="G118" s="150"/>
      <c r="H118" s="150"/>
      <c r="K118" s="150"/>
    </row>
    <row r="119" spans="2:11" ht="15">
      <c r="B119" s="759"/>
      <c r="C119" s="753" t="s">
        <v>532</v>
      </c>
      <c r="D119" s="753"/>
      <c r="E119" s="754"/>
      <c r="F119" s="760">
        <f>SUM(F116:F118)</f>
        <v>0</v>
      </c>
      <c r="G119" s="150"/>
      <c r="H119" s="150"/>
      <c r="K119" s="150"/>
    </row>
    <row r="120" spans="2:11" ht="15.75" thickBot="1">
      <c r="B120" s="111">
        <f>B2</f>
        <v>44196</v>
      </c>
      <c r="C120" s="105" t="s">
        <v>2</v>
      </c>
      <c r="D120" s="105"/>
      <c r="E120" s="572"/>
      <c r="F120" s="112">
        <f>F111+F115+F119</f>
        <v>1250</v>
      </c>
      <c r="G120" s="150"/>
      <c r="H120" s="150"/>
      <c r="K120" s="150"/>
    </row>
    <row r="121" spans="2:11" ht="13.5" thickBot="1">
      <c r="B121" s="24"/>
      <c r="C121" s="24"/>
      <c r="D121" s="24"/>
      <c r="E121" s="24"/>
      <c r="F121" s="24"/>
      <c r="G121" s="150"/>
      <c r="H121" s="150"/>
      <c r="K121" s="150"/>
    </row>
    <row r="122" spans="2:11" ht="15">
      <c r="B122" s="255" t="s">
        <v>93</v>
      </c>
      <c r="C122" s="203"/>
      <c r="D122" s="203"/>
      <c r="E122" s="443" t="s">
        <v>117</v>
      </c>
      <c r="F122" s="444"/>
      <c r="G122" s="150"/>
      <c r="H122" s="150"/>
      <c r="K122" s="150"/>
    </row>
    <row r="123" spans="2:11" ht="15">
      <c r="B123" s="119">
        <v>43100</v>
      </c>
      <c r="C123" s="262" t="s">
        <v>2</v>
      </c>
      <c r="D123" s="262"/>
      <c r="E123" s="262"/>
      <c r="F123" s="173">
        <v>48.66</v>
      </c>
      <c r="G123" s="563"/>
      <c r="H123" s="132"/>
      <c r="K123" s="150"/>
    </row>
    <row r="124" spans="2:11" ht="15">
      <c r="B124" s="427"/>
      <c r="C124" s="471" t="s">
        <v>362</v>
      </c>
      <c r="D124" s="471"/>
      <c r="E124" s="471"/>
      <c r="F124" s="193"/>
      <c r="G124" s="563"/>
      <c r="K124" s="150"/>
    </row>
    <row r="125" spans="2:11" ht="15">
      <c r="B125" s="427"/>
      <c r="C125" s="471" t="s">
        <v>364</v>
      </c>
      <c r="D125" s="471"/>
      <c r="E125" s="471"/>
      <c r="F125" s="193">
        <v>0</v>
      </c>
      <c r="G125" s="563"/>
      <c r="K125" s="150"/>
    </row>
    <row r="126" spans="2:11" ht="15">
      <c r="B126" s="427"/>
      <c r="C126" s="471" t="s">
        <v>363</v>
      </c>
      <c r="D126" s="471"/>
      <c r="E126" s="471"/>
      <c r="F126" s="193"/>
      <c r="G126" s="563"/>
      <c r="K126" s="150"/>
    </row>
    <row r="127" spans="2:11" ht="15.75" thickBot="1">
      <c r="B127" s="427"/>
      <c r="C127" s="471" t="s">
        <v>365</v>
      </c>
      <c r="D127" s="471"/>
      <c r="E127" s="471"/>
      <c r="F127" s="193">
        <v>0</v>
      </c>
      <c r="G127" s="563"/>
      <c r="K127" s="150"/>
    </row>
    <row r="128" spans="2:11" ht="15.75" thickBot="1">
      <c r="B128" s="574">
        <v>43465</v>
      </c>
      <c r="C128" s="575" t="s">
        <v>2</v>
      </c>
      <c r="D128" s="575"/>
      <c r="E128" s="575"/>
      <c r="F128" s="576">
        <v>48.66</v>
      </c>
      <c r="G128" s="150"/>
      <c r="H128">
        <v>926</v>
      </c>
      <c r="K128" s="150"/>
    </row>
    <row r="129" spans="1:11" ht="15.75" thickBot="1">
      <c r="A129" s="121"/>
      <c r="B129" s="668"/>
      <c r="C129" s="669" t="s">
        <v>425</v>
      </c>
      <c r="D129" s="669"/>
      <c r="E129" s="670"/>
      <c r="F129" s="671">
        <v>0</v>
      </c>
      <c r="G129" s="150"/>
      <c r="H129" s="121"/>
      <c r="I129" s="121"/>
      <c r="J129" s="121"/>
      <c r="K129" s="150"/>
    </row>
    <row r="130" spans="1:11" ht="15.75" thickBot="1">
      <c r="A130" s="121"/>
      <c r="B130" s="668"/>
      <c r="C130" s="669" t="s">
        <v>427</v>
      </c>
      <c r="D130" s="669"/>
      <c r="E130" s="670"/>
      <c r="F130" s="671">
        <v>0</v>
      </c>
      <c r="G130" s="150"/>
      <c r="H130" s="121"/>
      <c r="I130" s="121"/>
      <c r="J130" s="121"/>
      <c r="K130" s="150"/>
    </row>
    <row r="131" spans="1:11" ht="15.75" thickBot="1">
      <c r="A131" s="121"/>
      <c r="B131" s="111">
        <v>43830</v>
      </c>
      <c r="C131" s="105" t="s">
        <v>2</v>
      </c>
      <c r="D131" s="105"/>
      <c r="E131" s="572"/>
      <c r="F131" s="112">
        <v>48.66</v>
      </c>
      <c r="G131" s="150"/>
      <c r="H131" s="121"/>
      <c r="I131" s="121"/>
      <c r="J131" s="121"/>
      <c r="K131" s="150"/>
    </row>
    <row r="132" spans="1:11" ht="15.75" thickBot="1">
      <c r="A132" s="121"/>
      <c r="B132" s="665"/>
      <c r="C132" s="666" t="s">
        <v>534</v>
      </c>
      <c r="D132" s="666"/>
      <c r="E132" s="667"/>
      <c r="F132" s="507"/>
      <c r="G132" s="150"/>
      <c r="H132" s="121"/>
      <c r="I132" s="121"/>
      <c r="J132" s="121"/>
      <c r="K132" s="150"/>
    </row>
    <row r="133" spans="1:11" ht="15.75" thickBot="1">
      <c r="A133" s="121"/>
      <c r="B133" s="437">
        <v>44112</v>
      </c>
      <c r="C133" s="191" t="s">
        <v>562</v>
      </c>
      <c r="D133" s="191"/>
      <c r="E133" s="186"/>
      <c r="F133" s="240">
        <f>-48.66</f>
        <v>-48.66</v>
      </c>
      <c r="G133" s="150"/>
      <c r="H133" s="817" t="s">
        <v>564</v>
      </c>
      <c r="I133" s="818"/>
      <c r="J133" s="121"/>
      <c r="K133" s="150"/>
    </row>
    <row r="134" spans="1:11" ht="15">
      <c r="A134" s="121"/>
      <c r="B134" s="759"/>
      <c r="C134" s="753" t="s">
        <v>529</v>
      </c>
      <c r="D134" s="753"/>
      <c r="E134" s="754"/>
      <c r="F134" s="760">
        <f>SUM(F132:F133)</f>
        <v>-48.66</v>
      </c>
      <c r="G134" s="150"/>
      <c r="H134" s="121"/>
      <c r="I134" s="121"/>
      <c r="J134" s="121"/>
      <c r="K134" s="150"/>
    </row>
    <row r="135" spans="1:11" ht="15">
      <c r="A135" s="121"/>
      <c r="B135" s="759"/>
      <c r="C135" s="753"/>
      <c r="D135" s="753"/>
      <c r="E135" s="754"/>
      <c r="F135" s="760"/>
      <c r="G135" s="150"/>
      <c r="H135" s="121"/>
      <c r="I135" s="121"/>
      <c r="J135" s="121"/>
      <c r="K135" s="150"/>
    </row>
    <row r="136" spans="1:11" ht="15.75" thickBot="1">
      <c r="A136" s="121"/>
      <c r="B136" s="111"/>
      <c r="C136" s="105" t="s">
        <v>2</v>
      </c>
      <c r="D136" s="105"/>
      <c r="E136" s="572"/>
      <c r="F136" s="112">
        <f>F131+F134+F135</f>
        <v>0</v>
      </c>
      <c r="G136" s="150"/>
      <c r="H136" s="121"/>
      <c r="I136" s="121"/>
      <c r="J136" s="121"/>
      <c r="K136" s="150"/>
    </row>
    <row r="137" spans="1:11" ht="15.75" thickBot="1">
      <c r="A137" s="121"/>
      <c r="B137" s="761" t="str">
        <f>B122</f>
        <v>Oranje Fonds/NL doet</v>
      </c>
      <c r="C137" s="161"/>
      <c r="D137" s="168" t="s">
        <v>366</v>
      </c>
      <c r="E137" s="762" t="s">
        <v>563</v>
      </c>
      <c r="F137" s="763"/>
      <c r="G137" s="150"/>
      <c r="H137" s="121"/>
      <c r="I137" s="121"/>
      <c r="J137" s="121"/>
      <c r="K137" s="150"/>
    </row>
    <row r="138" spans="1:11" ht="15.75" thickBot="1">
      <c r="A138" s="121"/>
      <c r="B138" s="422"/>
      <c r="C138" s="422"/>
      <c r="D138" s="422"/>
      <c r="E138" s="422"/>
      <c r="F138" s="423"/>
      <c r="G138" s="150"/>
      <c r="H138" s="121"/>
      <c r="I138" s="121"/>
      <c r="J138" s="121"/>
      <c r="K138" s="150"/>
    </row>
    <row r="139" spans="2:11" ht="15.75" thickBot="1">
      <c r="B139" s="761" t="s">
        <v>535</v>
      </c>
      <c r="C139" s="161"/>
      <c r="D139" s="168" t="s">
        <v>366</v>
      </c>
      <c r="E139" s="762" t="s">
        <v>423</v>
      </c>
      <c r="F139" s="763"/>
      <c r="G139" s="150"/>
      <c r="K139" s="150"/>
    </row>
    <row r="140" spans="2:11" ht="12.75">
      <c r="B140" s="24"/>
      <c r="C140" s="24"/>
      <c r="D140" s="24"/>
      <c r="E140" s="24"/>
      <c r="F140" s="24"/>
      <c r="G140" s="150"/>
      <c r="H140" s="401"/>
      <c r="I140" s="235"/>
      <c r="J140" s="235"/>
      <c r="K140" s="235"/>
    </row>
    <row r="141" spans="2:11" ht="15.75" thickBot="1">
      <c r="B141" s="255" t="s">
        <v>122</v>
      </c>
      <c r="C141" s="203"/>
      <c r="D141" s="203"/>
      <c r="E141" s="447" t="s">
        <v>119</v>
      </c>
      <c r="F141" s="444"/>
      <c r="G141" s="150"/>
      <c r="H141" s="401"/>
      <c r="I141" s="235"/>
      <c r="J141" s="235"/>
      <c r="K141" s="230"/>
    </row>
    <row r="142" spans="2:11" ht="15.75" thickBot="1">
      <c r="B142" s="574">
        <v>43465</v>
      </c>
      <c r="C142" s="575" t="s">
        <v>2</v>
      </c>
      <c r="D142" s="575"/>
      <c r="E142" s="575"/>
      <c r="F142" s="576">
        <v>-3630.58</v>
      </c>
      <c r="G142" s="194"/>
      <c r="H142" s="235"/>
      <c r="I142" s="150"/>
      <c r="J142" s="150"/>
      <c r="K142" s="230"/>
    </row>
    <row r="143" spans="1:11" ht="15">
      <c r="A143" s="150"/>
      <c r="B143" s="665"/>
      <c r="C143" s="666" t="s">
        <v>424</v>
      </c>
      <c r="D143" s="666"/>
      <c r="E143" s="667"/>
      <c r="F143" s="507"/>
      <c r="G143" s="150"/>
      <c r="H143" s="150"/>
      <c r="I143" s="235">
        <v>-5000</v>
      </c>
      <c r="J143" s="150"/>
      <c r="K143" s="230"/>
    </row>
    <row r="144" spans="1:11" ht="15">
      <c r="A144" s="150"/>
      <c r="B144" s="437">
        <v>43481</v>
      </c>
      <c r="C144" s="191" t="s">
        <v>429</v>
      </c>
      <c r="D144" s="191"/>
      <c r="E144" s="186"/>
      <c r="F144" s="240">
        <v>-1000</v>
      </c>
      <c r="G144" s="150"/>
      <c r="H144" s="705" t="s">
        <v>431</v>
      </c>
      <c r="I144" s="150"/>
      <c r="J144" s="150"/>
      <c r="K144" s="230"/>
    </row>
    <row r="145" spans="1:11" ht="15">
      <c r="A145" s="150"/>
      <c r="B145" s="437">
        <v>43773</v>
      </c>
      <c r="C145" s="191" t="s">
        <v>503</v>
      </c>
      <c r="D145" s="191"/>
      <c r="E145" s="186"/>
      <c r="F145" s="240">
        <v>-369.42</v>
      </c>
      <c r="G145" s="150"/>
      <c r="H145" s="708" t="s">
        <v>536</v>
      </c>
      <c r="I145" s="705"/>
      <c r="J145" s="150"/>
      <c r="K145" s="230"/>
    </row>
    <row r="146" spans="1:11" ht="15.75" thickBot="1">
      <c r="A146" s="150"/>
      <c r="B146" s="668"/>
      <c r="C146" s="669" t="s">
        <v>425</v>
      </c>
      <c r="D146" s="669"/>
      <c r="E146" s="670"/>
      <c r="F146" s="671">
        <v>-1369.42</v>
      </c>
      <c r="G146" s="150"/>
      <c r="H146" s="150"/>
      <c r="I146" s="150"/>
      <c r="J146" s="150"/>
      <c r="K146" s="230"/>
    </row>
    <row r="147" spans="1:11" ht="15">
      <c r="A147" s="150"/>
      <c r="B147" s="665"/>
      <c r="C147" s="666" t="s">
        <v>483</v>
      </c>
      <c r="D147" s="666"/>
      <c r="E147" s="667"/>
      <c r="F147" s="507"/>
      <c r="G147" s="150"/>
      <c r="H147" s="150"/>
      <c r="I147" s="150"/>
      <c r="J147" s="150"/>
      <c r="K147" s="230"/>
    </row>
    <row r="148" spans="1:11" ht="15">
      <c r="A148" s="150"/>
      <c r="B148" s="437">
        <v>43481</v>
      </c>
      <c r="C148" s="191" t="s">
        <v>428</v>
      </c>
      <c r="D148" s="191"/>
      <c r="E148" s="186"/>
      <c r="F148" s="240">
        <v>1000</v>
      </c>
      <c r="G148" s="150"/>
      <c r="H148" s="705" t="s">
        <v>430</v>
      </c>
      <c r="I148" s="150"/>
      <c r="J148" s="150"/>
      <c r="K148" s="230"/>
    </row>
    <row r="149" spans="1:11" ht="15">
      <c r="A149" s="150"/>
      <c r="B149" s="437">
        <v>43483</v>
      </c>
      <c r="C149" s="191" t="s">
        <v>432</v>
      </c>
      <c r="D149" s="191"/>
      <c r="E149" s="186"/>
      <c r="F149" s="240">
        <v>3000</v>
      </c>
      <c r="G149" s="150"/>
      <c r="H149" s="705" t="s">
        <v>376</v>
      </c>
      <c r="I149" s="150"/>
      <c r="J149" s="150"/>
      <c r="K149" s="230"/>
    </row>
    <row r="150" spans="1:11" ht="15">
      <c r="A150" s="150"/>
      <c r="B150" s="437">
        <v>43772</v>
      </c>
      <c r="C150" s="191" t="s">
        <v>468</v>
      </c>
      <c r="D150" s="191"/>
      <c r="E150" s="186"/>
      <c r="F150" s="707">
        <v>1000</v>
      </c>
      <c r="G150" s="150"/>
      <c r="H150" s="705" t="s">
        <v>487</v>
      </c>
      <c r="I150" s="150"/>
      <c r="J150" s="150"/>
      <c r="K150" s="230"/>
    </row>
    <row r="151" spans="1:11" ht="15.75" thickBot="1">
      <c r="A151" s="150"/>
      <c r="B151" s="668"/>
      <c r="C151" s="669" t="s">
        <v>427</v>
      </c>
      <c r="D151" s="669"/>
      <c r="E151" s="670"/>
      <c r="F151" s="671">
        <v>5000</v>
      </c>
      <c r="G151" s="150"/>
      <c r="H151" s="150"/>
      <c r="I151" s="150"/>
      <c r="J151" s="150"/>
      <c r="K151" s="230"/>
    </row>
    <row r="152" spans="1:11" ht="15.75" thickBot="1">
      <c r="A152" s="150"/>
      <c r="B152" s="111">
        <v>43830</v>
      </c>
      <c r="C152" s="105" t="s">
        <v>2</v>
      </c>
      <c r="D152" s="105"/>
      <c r="E152" s="572"/>
      <c r="F152" s="112">
        <v>0</v>
      </c>
      <c r="G152" s="150"/>
      <c r="H152" s="150"/>
      <c r="I152" s="150"/>
      <c r="J152" s="150"/>
      <c r="K152" s="230"/>
    </row>
    <row r="153" spans="1:11" ht="15.75" thickBot="1">
      <c r="A153" s="150"/>
      <c r="B153" s="764"/>
      <c r="C153" s="762" t="s">
        <v>537</v>
      </c>
      <c r="D153" s="762"/>
      <c r="E153" s="765"/>
      <c r="F153" s="766"/>
      <c r="G153" s="150"/>
      <c r="H153" s="150"/>
      <c r="I153" s="150"/>
      <c r="J153" s="150"/>
      <c r="K153" s="230"/>
    </row>
    <row r="154" spans="1:11" ht="15.75" thickBot="1">
      <c r="A154" s="150"/>
      <c r="B154" s="228"/>
      <c r="C154" s="229"/>
      <c r="D154" s="229"/>
      <c r="E154" s="227"/>
      <c r="F154" s="227"/>
      <c r="G154" s="150"/>
      <c r="H154" s="150"/>
      <c r="I154" s="150"/>
      <c r="J154" s="150"/>
      <c r="K154" s="230"/>
    </row>
    <row r="155" spans="1:11" ht="15.75" thickBot="1">
      <c r="A155" s="150"/>
      <c r="B155" s="255" t="s">
        <v>226</v>
      </c>
      <c r="C155" s="203"/>
      <c r="D155" s="203"/>
      <c r="E155" s="447" t="s">
        <v>141</v>
      </c>
      <c r="F155" s="444"/>
      <c r="G155" s="150"/>
      <c r="H155" s="150"/>
      <c r="I155" s="150"/>
      <c r="J155" s="150"/>
      <c r="K155" s="230"/>
    </row>
    <row r="156" spans="2:11" ht="15.75" thickBot="1">
      <c r="B156" s="574">
        <v>43465</v>
      </c>
      <c r="C156" s="575" t="s">
        <v>2</v>
      </c>
      <c r="D156" s="575"/>
      <c r="E156" s="575"/>
      <c r="F156" s="576">
        <v>926</v>
      </c>
      <c r="G156" s="564"/>
      <c r="H156" s="150"/>
      <c r="I156" s="150"/>
      <c r="J156" s="235"/>
      <c r="K156" s="150"/>
    </row>
    <row r="157" spans="2:11" ht="15.75" thickBot="1">
      <c r="B157" s="668"/>
      <c r="C157" s="669" t="s">
        <v>425</v>
      </c>
      <c r="D157" s="669"/>
      <c r="E157" s="670"/>
      <c r="F157" s="671">
        <v>0</v>
      </c>
      <c r="H157" s="150"/>
      <c r="I157" s="150"/>
      <c r="J157" s="150"/>
      <c r="K157" s="150"/>
    </row>
    <row r="158" spans="2:11" ht="15">
      <c r="B158" s="665"/>
      <c r="C158" s="666" t="s">
        <v>485</v>
      </c>
      <c r="D158" s="666"/>
      <c r="E158" s="667"/>
      <c r="F158" s="507"/>
      <c r="H158" s="150"/>
      <c r="I158" s="150"/>
      <c r="J158" s="235"/>
      <c r="K158" s="150"/>
    </row>
    <row r="159" spans="2:11" ht="15">
      <c r="B159" s="437">
        <v>43634</v>
      </c>
      <c r="C159" s="191" t="s">
        <v>469</v>
      </c>
      <c r="D159" s="191"/>
      <c r="E159" s="186"/>
      <c r="F159" s="240">
        <v>100</v>
      </c>
      <c r="G159" t="s">
        <v>472</v>
      </c>
      <c r="H159" s="705" t="s">
        <v>457</v>
      </c>
      <c r="I159" s="150"/>
      <c r="J159" s="150"/>
      <c r="K159" s="150"/>
    </row>
    <row r="160" spans="2:11" ht="15">
      <c r="B160" s="437">
        <v>43617</v>
      </c>
      <c r="C160" s="191" t="s">
        <v>470</v>
      </c>
      <c r="D160" s="191"/>
      <c r="E160" s="186"/>
      <c r="F160" s="240">
        <v>1000</v>
      </c>
      <c r="G160" t="s">
        <v>472</v>
      </c>
      <c r="H160" s="705" t="s">
        <v>457</v>
      </c>
      <c r="I160" s="150"/>
      <c r="J160" s="150"/>
      <c r="K160" s="150"/>
    </row>
    <row r="161" spans="2:11" ht="15.75" thickBot="1">
      <c r="B161" s="668"/>
      <c r="C161" s="669" t="s">
        <v>427</v>
      </c>
      <c r="D161" s="669"/>
      <c r="E161" s="670"/>
      <c r="F161" s="671">
        <v>1100</v>
      </c>
      <c r="H161" s="150"/>
      <c r="I161" s="150"/>
      <c r="J161" s="150"/>
      <c r="K161" s="150"/>
    </row>
    <row r="162" spans="2:11" ht="15.75" thickBot="1">
      <c r="B162" s="111">
        <v>43830</v>
      </c>
      <c r="C162" s="105" t="s">
        <v>2</v>
      </c>
      <c r="D162" s="105"/>
      <c r="E162" s="572"/>
      <c r="F162" s="112">
        <v>2026</v>
      </c>
      <c r="H162" s="150"/>
      <c r="I162" s="150"/>
      <c r="J162" s="150"/>
      <c r="K162" s="150"/>
    </row>
    <row r="163" spans="2:11" ht="15">
      <c r="B163" s="665"/>
      <c r="C163" s="666" t="s">
        <v>528</v>
      </c>
      <c r="D163" s="666"/>
      <c r="E163" s="667"/>
      <c r="F163" s="507"/>
      <c r="H163" s="150"/>
      <c r="I163" s="150"/>
      <c r="J163" s="150"/>
      <c r="K163" s="150"/>
    </row>
    <row r="164" spans="2:11" ht="15">
      <c r="B164" s="437"/>
      <c r="C164" s="191"/>
      <c r="D164" s="191"/>
      <c r="E164" s="186"/>
      <c r="F164" s="240"/>
      <c r="H164" s="150"/>
      <c r="I164" s="150"/>
      <c r="J164" s="150"/>
      <c r="K164" s="150"/>
    </row>
    <row r="165" spans="2:11" ht="15">
      <c r="B165" s="759"/>
      <c r="C165" s="753" t="s">
        <v>529</v>
      </c>
      <c r="D165" s="753"/>
      <c r="E165" s="754"/>
      <c r="F165" s="760">
        <f>SUM(F163:F164)</f>
        <v>0</v>
      </c>
      <c r="H165" s="150"/>
      <c r="I165" s="150"/>
      <c r="J165" s="150"/>
      <c r="K165" s="150"/>
    </row>
    <row r="166" spans="2:11" ht="15">
      <c r="B166" s="437"/>
      <c r="C166" s="191" t="s">
        <v>530</v>
      </c>
      <c r="D166" s="191"/>
      <c r="E166" s="186"/>
      <c r="F166" s="240"/>
      <c r="H166" s="150"/>
      <c r="I166" s="150"/>
      <c r="J166" s="150"/>
      <c r="K166" s="150"/>
    </row>
    <row r="167" spans="2:11" ht="15">
      <c r="B167" s="437">
        <v>44161</v>
      </c>
      <c r="C167" s="191" t="s">
        <v>577</v>
      </c>
      <c r="D167" s="191"/>
      <c r="E167" s="186"/>
      <c r="F167" s="240">
        <v>248.85</v>
      </c>
      <c r="H167" s="150"/>
      <c r="I167" s="150"/>
      <c r="J167" s="150"/>
      <c r="K167" s="150"/>
    </row>
    <row r="168" spans="2:11" ht="15">
      <c r="B168" s="759"/>
      <c r="C168" s="753" t="s">
        <v>532</v>
      </c>
      <c r="D168" s="753"/>
      <c r="E168" s="754"/>
      <c r="F168" s="760">
        <f>SUM(F166:F167)</f>
        <v>248.85</v>
      </c>
      <c r="H168" s="150"/>
      <c r="I168" s="150"/>
      <c r="J168" s="150"/>
      <c r="K168" s="150"/>
    </row>
    <row r="169" spans="2:11" ht="15.75" thickBot="1">
      <c r="B169" s="111">
        <f>B2</f>
        <v>44196</v>
      </c>
      <c r="C169" s="105" t="s">
        <v>2</v>
      </c>
      <c r="D169" s="105"/>
      <c r="E169" s="572"/>
      <c r="F169" s="112">
        <f>F162+F165+F168</f>
        <v>2274.85</v>
      </c>
      <c r="H169" s="150"/>
      <c r="I169" s="150"/>
      <c r="J169" s="150"/>
      <c r="K169" s="150"/>
    </row>
    <row r="170" spans="9:11" ht="13.5" thickBot="1">
      <c r="I170" s="150"/>
      <c r="J170" s="150"/>
      <c r="K170" s="150"/>
    </row>
    <row r="171" spans="2:11" ht="15">
      <c r="B171" s="665"/>
      <c r="C171" s="666" t="s">
        <v>426</v>
      </c>
      <c r="D171" s="666"/>
      <c r="E171" s="701" t="s">
        <v>486</v>
      </c>
      <c r="F171" s="507"/>
      <c r="I171" s="150"/>
      <c r="J171" s="150"/>
      <c r="K171" s="150"/>
    </row>
    <row r="172" spans="2:11" ht="15">
      <c r="B172" s="437">
        <v>43727</v>
      </c>
      <c r="C172" s="191" t="s">
        <v>475</v>
      </c>
      <c r="D172" s="191"/>
      <c r="E172" s="186"/>
      <c r="F172" s="240">
        <v>0.97</v>
      </c>
      <c r="H172" s="705" t="s">
        <v>457</v>
      </c>
      <c r="I172" s="150"/>
      <c r="J172" s="150"/>
      <c r="K172" s="150"/>
    </row>
    <row r="173" spans="2:11" ht="15">
      <c r="B173" s="437">
        <v>43731</v>
      </c>
      <c r="C173" s="191" t="s">
        <v>475</v>
      </c>
      <c r="D173" s="191"/>
      <c r="E173" s="186"/>
      <c r="F173" s="240">
        <v>0.97</v>
      </c>
      <c r="H173" s="705" t="s">
        <v>457</v>
      </c>
      <c r="I173" s="150"/>
      <c r="J173" s="150"/>
      <c r="K173" s="150"/>
    </row>
    <row r="174" spans="2:11" ht="15">
      <c r="B174" s="437">
        <v>43761</v>
      </c>
      <c r="C174" s="191" t="s">
        <v>475</v>
      </c>
      <c r="D174" s="191"/>
      <c r="E174" s="186"/>
      <c r="F174" s="240">
        <v>10.69</v>
      </c>
      <c r="H174" s="705" t="s">
        <v>457</v>
      </c>
      <c r="I174" s="150"/>
      <c r="J174" s="150"/>
      <c r="K174" s="150"/>
    </row>
    <row r="175" spans="2:11" ht="15">
      <c r="B175" s="437">
        <v>43762</v>
      </c>
      <c r="C175" s="191" t="s">
        <v>475</v>
      </c>
      <c r="D175" s="191"/>
      <c r="E175" s="186"/>
      <c r="F175" s="240">
        <v>43.74</v>
      </c>
      <c r="H175" s="705" t="s">
        <v>457</v>
      </c>
      <c r="I175" s="150"/>
      <c r="J175" s="150"/>
      <c r="K175" s="150"/>
    </row>
    <row r="176" spans="2:11" ht="15">
      <c r="B176" s="437">
        <v>43766</v>
      </c>
      <c r="C176" s="191" t="s">
        <v>475</v>
      </c>
      <c r="D176" s="191"/>
      <c r="E176" s="186"/>
      <c r="F176" s="240">
        <v>18.48</v>
      </c>
      <c r="H176" s="705" t="s">
        <v>457</v>
      </c>
      <c r="I176" s="150"/>
      <c r="J176" s="150"/>
      <c r="K176" s="150"/>
    </row>
    <row r="177" spans="2:11" ht="15">
      <c r="B177" s="437">
        <v>43768</v>
      </c>
      <c r="C177" s="191" t="s">
        <v>475</v>
      </c>
      <c r="D177" s="191"/>
      <c r="E177" s="186"/>
      <c r="F177" s="240">
        <v>155.6</v>
      </c>
      <c r="H177" s="705" t="s">
        <v>457</v>
      </c>
      <c r="I177" s="150"/>
      <c r="J177" s="150"/>
      <c r="K177" s="150"/>
    </row>
    <row r="178" spans="2:11" ht="15">
      <c r="B178" s="437">
        <v>43811</v>
      </c>
      <c r="C178" s="191" t="s">
        <v>546</v>
      </c>
      <c r="D178" s="191"/>
      <c r="E178" s="186"/>
      <c r="F178" s="240">
        <v>48.61</v>
      </c>
      <c r="H178" s="705" t="s">
        <v>457</v>
      </c>
      <c r="I178" s="150"/>
      <c r="J178" s="150"/>
      <c r="K178" s="150"/>
    </row>
    <row r="179" spans="2:11" ht="15.75" thickBot="1">
      <c r="B179" s="668"/>
      <c r="C179" s="669" t="s">
        <v>427</v>
      </c>
      <c r="D179" s="669"/>
      <c r="E179" s="670"/>
      <c r="F179" s="671">
        <v>279.06</v>
      </c>
      <c r="I179" s="150"/>
      <c r="J179" s="150"/>
      <c r="K179" s="150"/>
    </row>
    <row r="180" spans="2:11" ht="15">
      <c r="B180" s="665"/>
      <c r="C180" s="666" t="s">
        <v>424</v>
      </c>
      <c r="D180" s="666"/>
      <c r="E180" s="667"/>
      <c r="F180" s="507"/>
      <c r="I180" s="150"/>
      <c r="J180" s="150"/>
      <c r="K180" s="150"/>
    </row>
    <row r="181" spans="2:11" ht="15">
      <c r="B181" s="437">
        <v>43770</v>
      </c>
      <c r="C181" s="191" t="s">
        <v>478</v>
      </c>
      <c r="D181" s="191"/>
      <c r="E181" s="186"/>
      <c r="F181" s="240">
        <v>-230.45</v>
      </c>
      <c r="H181" s="705" t="s">
        <v>457</v>
      </c>
      <c r="I181" s="150"/>
      <c r="J181" s="150"/>
      <c r="K181" s="150"/>
    </row>
    <row r="182" spans="2:11" ht="15">
      <c r="B182" s="437">
        <v>43811</v>
      </c>
      <c r="C182" s="191" t="s">
        <v>478</v>
      </c>
      <c r="D182" s="191"/>
      <c r="E182" s="186"/>
      <c r="F182" s="240">
        <v>-48.61</v>
      </c>
      <c r="H182" s="705" t="s">
        <v>457</v>
      </c>
      <c r="I182" s="150"/>
      <c r="J182" s="150"/>
      <c r="K182" s="150"/>
    </row>
    <row r="183" spans="2:11" ht="15.75" thickBot="1">
      <c r="B183" s="668"/>
      <c r="C183" s="669" t="s">
        <v>479</v>
      </c>
      <c r="D183" s="669"/>
      <c r="E183" s="670"/>
      <c r="F183" s="671">
        <v>-279.06</v>
      </c>
      <c r="I183" s="150"/>
      <c r="J183" s="150"/>
      <c r="K183" s="150"/>
    </row>
    <row r="184" spans="1:12" ht="15.75" thickBot="1">
      <c r="A184" s="121"/>
      <c r="B184" s="111"/>
      <c r="C184" s="105" t="s">
        <v>480</v>
      </c>
      <c r="D184" s="699">
        <v>43830</v>
      </c>
      <c r="E184" s="572"/>
      <c r="F184" s="112">
        <v>0</v>
      </c>
      <c r="G184" s="121"/>
      <c r="H184" s="121"/>
      <c r="I184" s="121"/>
      <c r="J184" s="121"/>
      <c r="K184" s="121"/>
      <c r="L184" s="121"/>
    </row>
    <row r="185" spans="1:12" ht="15">
      <c r="A185" s="121"/>
      <c r="B185" s="665"/>
      <c r="C185" s="666" t="s">
        <v>530</v>
      </c>
      <c r="D185" s="767"/>
      <c r="E185" s="667"/>
      <c r="F185" s="507"/>
      <c r="G185" s="121"/>
      <c r="H185" s="121"/>
      <c r="I185" s="121"/>
      <c r="J185" s="121"/>
      <c r="K185" s="121"/>
      <c r="L185" s="121"/>
    </row>
    <row r="186" spans="1:12" ht="15">
      <c r="A186" s="121"/>
      <c r="B186" s="437">
        <v>44040</v>
      </c>
      <c r="C186" s="191" t="s">
        <v>475</v>
      </c>
      <c r="D186" s="263"/>
      <c r="E186" s="186"/>
      <c r="F186" s="240">
        <v>46.19</v>
      </c>
      <c r="G186" s="121"/>
      <c r="H186" s="705" t="s">
        <v>457</v>
      </c>
      <c r="I186" s="121"/>
      <c r="J186" s="121"/>
      <c r="K186" s="121"/>
      <c r="L186" s="121"/>
    </row>
    <row r="187" spans="1:12" ht="15">
      <c r="A187" s="121"/>
      <c r="B187" s="437" t="s">
        <v>550</v>
      </c>
      <c r="C187" s="191" t="s">
        <v>475</v>
      </c>
      <c r="D187" s="263"/>
      <c r="E187" s="186"/>
      <c r="F187" s="240">
        <v>155.6</v>
      </c>
      <c r="G187" s="121"/>
      <c r="H187" s="705" t="s">
        <v>457</v>
      </c>
      <c r="I187" s="121"/>
      <c r="J187" s="121"/>
      <c r="K187" s="121"/>
      <c r="L187" s="121"/>
    </row>
    <row r="188" spans="1:12" ht="15">
      <c r="A188" s="121"/>
      <c r="B188" s="437">
        <v>44105</v>
      </c>
      <c r="C188" s="191" t="s">
        <v>475</v>
      </c>
      <c r="D188" s="263"/>
      <c r="E188" s="186"/>
      <c r="F188" s="240">
        <v>58.35</v>
      </c>
      <c r="G188" s="121"/>
      <c r="H188" s="705" t="s">
        <v>457</v>
      </c>
      <c r="I188" s="121"/>
      <c r="J188" s="121"/>
      <c r="K188" s="121"/>
      <c r="L188" s="121"/>
    </row>
    <row r="189" spans="1:12" ht="15">
      <c r="A189" s="121"/>
      <c r="B189" s="437">
        <v>44114</v>
      </c>
      <c r="C189" s="191" t="s">
        <v>576</v>
      </c>
      <c r="D189" s="263"/>
      <c r="E189" s="186"/>
      <c r="F189" s="240">
        <v>19.45</v>
      </c>
      <c r="G189" s="121"/>
      <c r="H189" s="705" t="s">
        <v>457</v>
      </c>
      <c r="I189" s="121"/>
      <c r="J189" s="121"/>
      <c r="K189" s="121"/>
      <c r="L189" s="121"/>
    </row>
    <row r="190" spans="1:12" ht="15">
      <c r="A190" s="121"/>
      <c r="B190" s="759"/>
      <c r="C190" s="753" t="s">
        <v>532</v>
      </c>
      <c r="D190" s="752"/>
      <c r="E190" s="754"/>
      <c r="F190" s="760">
        <f>SUM(F185:F189)</f>
        <v>279.59</v>
      </c>
      <c r="G190" s="121"/>
      <c r="H190" s="121"/>
      <c r="I190" s="121"/>
      <c r="J190" s="121"/>
      <c r="K190" s="121"/>
      <c r="L190" s="121"/>
    </row>
    <row r="191" spans="1:12" ht="15">
      <c r="A191" s="121"/>
      <c r="B191" s="437"/>
      <c r="C191" s="191" t="s">
        <v>528</v>
      </c>
      <c r="D191" s="263"/>
      <c r="E191" s="186"/>
      <c r="F191" s="240"/>
      <c r="G191" s="121"/>
      <c r="H191" s="121"/>
      <c r="I191" s="121"/>
      <c r="J191" s="121"/>
      <c r="K191" s="121"/>
      <c r="L191" s="121"/>
    </row>
    <row r="192" spans="1:12" ht="15">
      <c r="A192" s="121"/>
      <c r="B192" s="437">
        <v>44109</v>
      </c>
      <c r="C192" s="191" t="s">
        <v>478</v>
      </c>
      <c r="D192" s="263"/>
      <c r="E192" s="186"/>
      <c r="F192" s="240">
        <v>-260.14</v>
      </c>
      <c r="G192" s="121"/>
      <c r="H192" s="705" t="s">
        <v>457</v>
      </c>
      <c r="I192" s="121"/>
      <c r="J192" s="121"/>
      <c r="K192" s="121"/>
      <c r="L192" s="121"/>
    </row>
    <row r="193" spans="1:12" ht="15">
      <c r="A193" s="121"/>
      <c r="B193" s="437">
        <v>44124</v>
      </c>
      <c r="C193" s="191" t="s">
        <v>575</v>
      </c>
      <c r="D193" s="263"/>
      <c r="E193" s="186"/>
      <c r="F193" s="240">
        <v>-19.95</v>
      </c>
      <c r="G193" s="121"/>
      <c r="H193" s="705" t="s">
        <v>457</v>
      </c>
      <c r="I193" s="121"/>
      <c r="J193" s="121"/>
      <c r="K193" s="121"/>
      <c r="L193" s="121"/>
    </row>
    <row r="194" spans="1:12" ht="15">
      <c r="A194" s="121"/>
      <c r="B194" s="437"/>
      <c r="C194" s="191"/>
      <c r="D194" s="263"/>
      <c r="E194" s="186"/>
      <c r="F194" s="240"/>
      <c r="G194" s="121"/>
      <c r="H194" s="121"/>
      <c r="I194" s="121"/>
      <c r="J194" s="121"/>
      <c r="K194" s="121"/>
      <c r="L194" s="121"/>
    </row>
    <row r="195" spans="1:12" ht="15">
      <c r="A195" s="121"/>
      <c r="B195" s="759"/>
      <c r="C195" s="753" t="s">
        <v>533</v>
      </c>
      <c r="D195" s="753"/>
      <c r="E195" s="754"/>
      <c r="F195" s="760">
        <f>SUM(F191:F194)</f>
        <v>-280.09</v>
      </c>
      <c r="G195" s="121"/>
      <c r="H195" s="121"/>
      <c r="I195" s="121"/>
      <c r="J195" s="121"/>
      <c r="K195" s="121"/>
      <c r="L195" s="121"/>
    </row>
    <row r="196" spans="1:12" ht="15.75" thickBot="1">
      <c r="A196" s="121"/>
      <c r="B196" s="111">
        <f>B2</f>
        <v>44196</v>
      </c>
      <c r="C196" s="105" t="s">
        <v>2</v>
      </c>
      <c r="D196" s="105"/>
      <c r="E196" s="572"/>
      <c r="F196" s="112">
        <f>F184+F190+F195</f>
        <v>-0.5</v>
      </c>
      <c r="G196" s="121"/>
      <c r="H196" s="121"/>
      <c r="I196" s="121"/>
      <c r="J196" s="121"/>
      <c r="K196" s="121"/>
      <c r="L196" s="121"/>
    </row>
    <row r="197" spans="1:12" ht="15.75" thickBot="1">
      <c r="A197" s="121"/>
      <c r="B197" s="473"/>
      <c r="C197" s="149"/>
      <c r="D197" s="149"/>
      <c r="E197" s="698"/>
      <c r="F197" s="227"/>
      <c r="G197" s="121"/>
      <c r="H197" s="121"/>
      <c r="I197" s="121"/>
      <c r="J197" s="121"/>
      <c r="K197" s="121"/>
      <c r="L197" s="121"/>
    </row>
    <row r="198" spans="2:6" ht="15.75" thickBot="1">
      <c r="B198" s="255" t="s">
        <v>566</v>
      </c>
      <c r="C198" s="203"/>
      <c r="D198" s="203"/>
      <c r="E198" s="447" t="s">
        <v>243</v>
      </c>
      <c r="F198" s="444"/>
    </row>
    <row r="199" spans="2:6" ht="15.75" thickBot="1">
      <c r="B199" s="579">
        <v>43830</v>
      </c>
      <c r="C199" s="225"/>
      <c r="D199" s="225"/>
      <c r="E199" s="226"/>
      <c r="F199" s="576">
        <v>704.3300000000072</v>
      </c>
    </row>
    <row r="200" spans="2:6" ht="15">
      <c r="B200" s="119">
        <v>44109</v>
      </c>
      <c r="C200" s="262" t="s">
        <v>552</v>
      </c>
      <c r="D200" s="130"/>
      <c r="E200" s="262"/>
      <c r="F200" s="173">
        <v>704.330000000009</v>
      </c>
    </row>
    <row r="201" spans="2:6" ht="15">
      <c r="B201" s="820"/>
      <c r="C201" s="821" t="s">
        <v>567</v>
      </c>
      <c r="D201" s="752"/>
      <c r="E201" s="821"/>
      <c r="F201" s="760"/>
    </row>
    <row r="202" spans="2:6" ht="15">
      <c r="B202" s="406">
        <v>44112</v>
      </c>
      <c r="C202" s="241" t="s">
        <v>555</v>
      </c>
      <c r="D202" s="263"/>
      <c r="E202" s="241" t="s">
        <v>556</v>
      </c>
      <c r="F202" s="240">
        <f>0.02</f>
        <v>0.02</v>
      </c>
    </row>
    <row r="203" spans="2:6" ht="15">
      <c r="B203" s="406">
        <v>44112</v>
      </c>
      <c r="C203" s="241" t="s">
        <v>560</v>
      </c>
      <c r="D203" s="263"/>
      <c r="E203" s="241" t="s">
        <v>557</v>
      </c>
      <c r="F203" s="240">
        <f>-F30</f>
        <v>235.51</v>
      </c>
    </row>
    <row r="204" spans="2:6" ht="15">
      <c r="B204" s="406">
        <v>44112</v>
      </c>
      <c r="C204" s="241" t="s">
        <v>572</v>
      </c>
      <c r="D204" s="263"/>
      <c r="E204" s="241" t="s">
        <v>571</v>
      </c>
      <c r="F204" s="240">
        <v>31.44</v>
      </c>
    </row>
    <row r="205" spans="2:6" ht="15">
      <c r="B205" s="406">
        <v>44112</v>
      </c>
      <c r="C205" s="241" t="s">
        <v>561</v>
      </c>
      <c r="D205" s="263"/>
      <c r="E205" s="241" t="s">
        <v>558</v>
      </c>
      <c r="F205" s="240">
        <f>-F134</f>
        <v>48.66</v>
      </c>
    </row>
    <row r="206" spans="2:6" ht="15">
      <c r="B206" s="406"/>
      <c r="C206" s="241"/>
      <c r="D206" s="263"/>
      <c r="E206" s="248"/>
      <c r="F206" s="240"/>
    </row>
    <row r="207" spans="2:6" ht="15">
      <c r="B207" s="820"/>
      <c r="C207" s="821" t="s">
        <v>568</v>
      </c>
      <c r="D207" s="752"/>
      <c r="E207" s="822"/>
      <c r="F207" s="760">
        <f>SUM(F202:F206)</f>
        <v>315.63</v>
      </c>
    </row>
    <row r="208" spans="2:6" ht="15">
      <c r="B208" s="406"/>
      <c r="C208" s="241" t="s">
        <v>581</v>
      </c>
      <c r="D208" s="263"/>
      <c r="E208" s="248"/>
      <c r="F208" s="240">
        <v>-0.5</v>
      </c>
    </row>
    <row r="209" spans="2:6" ht="15">
      <c r="B209" s="820"/>
      <c r="C209" s="821" t="s">
        <v>569</v>
      </c>
      <c r="D209" s="752"/>
      <c r="E209" s="822"/>
      <c r="F209" s="760">
        <f>F208</f>
        <v>-0.5</v>
      </c>
    </row>
    <row r="210" spans="2:6" ht="15">
      <c r="B210" s="406"/>
      <c r="C210" s="241"/>
      <c r="D210" s="263"/>
      <c r="E210" s="248"/>
      <c r="F210" s="240"/>
    </row>
    <row r="211" spans="2:6" ht="15.75" thickBot="1">
      <c r="B211" s="823">
        <v>44113</v>
      </c>
      <c r="C211" s="824" t="s">
        <v>566</v>
      </c>
      <c r="D211" s="699"/>
      <c r="E211" s="825"/>
      <c r="F211" s="112">
        <f>F200+F207-F209</f>
        <v>1020.460000000009</v>
      </c>
    </row>
  </sheetData>
  <sheetProtection/>
  <printOptions/>
  <pageMargins left="0.7" right="0.7" top="0.75" bottom="0.75" header="0.3" footer="0.3"/>
  <pageSetup fitToHeight="0" fitToWidth="1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53"/>
  <sheetViews>
    <sheetView zoomScalePageLayoutView="0" workbookViewId="0" topLeftCell="B33">
      <selection activeCell="G50" sqref="G50"/>
    </sheetView>
  </sheetViews>
  <sheetFormatPr defaultColWidth="9.140625" defaultRowHeight="12.75"/>
  <cols>
    <col min="2" max="2" width="14.7109375" style="0" customWidth="1"/>
    <col min="3" max="3" width="14.8515625" style="0" customWidth="1"/>
    <col min="4" max="4" width="11.8515625" style="0" customWidth="1"/>
    <col min="5" max="5" width="13.421875" style="0" customWidth="1"/>
    <col min="6" max="7" width="17.7109375" style="0" customWidth="1"/>
    <col min="8" max="8" width="3.8515625" style="0" customWidth="1"/>
    <col min="9" max="9" width="17.140625" style="0" customWidth="1"/>
    <col min="10" max="10" width="18.57421875" style="0" customWidth="1"/>
  </cols>
  <sheetData>
    <row r="2" ht="13.5" thickBot="1"/>
    <row r="3" spans="3:10" ht="15">
      <c r="C3" s="791"/>
      <c r="D3" s="792"/>
      <c r="E3" s="792"/>
      <c r="F3" s="793"/>
      <c r="G3" s="794"/>
      <c r="H3" s="150"/>
      <c r="I3" s="150"/>
      <c r="J3" s="252"/>
    </row>
    <row r="4" spans="3:10" ht="13.5" thickBot="1">
      <c r="C4" s="795" t="s">
        <v>131</v>
      </c>
      <c r="D4" s="796"/>
      <c r="E4" s="796"/>
      <c r="F4" s="796"/>
      <c r="G4" s="797"/>
      <c r="H4" s="150"/>
      <c r="I4" s="150"/>
      <c r="J4" s="235"/>
    </row>
    <row r="5" spans="3:10" ht="15">
      <c r="C5" s="439" t="s">
        <v>83</v>
      </c>
      <c r="D5" s="419"/>
      <c r="E5" s="176"/>
      <c r="F5" s="420" t="s">
        <v>115</v>
      </c>
      <c r="G5" s="198"/>
      <c r="H5" s="150"/>
      <c r="I5" s="150"/>
      <c r="J5" s="235"/>
    </row>
    <row r="6" spans="3:10" ht="15">
      <c r="C6" s="450">
        <v>43100</v>
      </c>
      <c r="D6" s="241" t="s">
        <v>422</v>
      </c>
      <c r="E6" s="241"/>
      <c r="F6" s="241"/>
      <c r="G6" s="240">
        <v>7537.84</v>
      </c>
      <c r="H6" s="150"/>
      <c r="I6" s="150"/>
      <c r="J6" s="235"/>
    </row>
    <row r="7" spans="2:9" ht="15.75" thickBot="1">
      <c r="B7" s="121"/>
      <c r="C7" s="668"/>
      <c r="D7" s="669" t="s">
        <v>425</v>
      </c>
      <c r="E7" s="669"/>
      <c r="F7" s="670"/>
      <c r="G7" s="671"/>
      <c r="H7" s="150"/>
      <c r="I7" s="150"/>
    </row>
    <row r="8" spans="2:9" ht="15">
      <c r="B8" s="121"/>
      <c r="C8" s="665"/>
      <c r="D8" s="666" t="s">
        <v>481</v>
      </c>
      <c r="E8" s="666"/>
      <c r="F8" s="667"/>
      <c r="G8" s="507"/>
      <c r="H8" s="150"/>
      <c r="I8" s="150"/>
    </row>
    <row r="9" spans="2:9" ht="15">
      <c r="B9" s="121"/>
      <c r="C9" s="437">
        <v>43466</v>
      </c>
      <c r="D9" s="241" t="s">
        <v>59</v>
      </c>
      <c r="E9" s="191"/>
      <c r="F9" s="186"/>
      <c r="G9" s="240">
        <v>0.65</v>
      </c>
      <c r="H9" s="150"/>
      <c r="I9" s="705" t="s">
        <v>376</v>
      </c>
    </row>
    <row r="10" spans="2:10" ht="15">
      <c r="B10" s="121"/>
      <c r="C10" s="437">
        <v>43500</v>
      </c>
      <c r="D10" s="191" t="s">
        <v>464</v>
      </c>
      <c r="E10" s="191"/>
      <c r="F10" s="186"/>
      <c r="G10" s="240">
        <v>1250</v>
      </c>
      <c r="H10" s="150"/>
      <c r="I10" s="705" t="s">
        <v>376</v>
      </c>
      <c r="J10" s="685"/>
    </row>
    <row r="11" spans="2:10" ht="15">
      <c r="B11" s="121"/>
      <c r="C11" s="437">
        <v>43501</v>
      </c>
      <c r="D11" s="191" t="s">
        <v>164</v>
      </c>
      <c r="E11" s="191"/>
      <c r="F11" s="186"/>
      <c r="G11" s="240">
        <v>10</v>
      </c>
      <c r="H11" s="150"/>
      <c r="I11" s="705" t="s">
        <v>376</v>
      </c>
      <c r="J11" s="133"/>
    </row>
    <row r="12" spans="2:10" ht="15">
      <c r="B12" s="121"/>
      <c r="C12" s="437">
        <v>43523</v>
      </c>
      <c r="D12" s="191" t="s">
        <v>463</v>
      </c>
      <c r="E12" s="191"/>
      <c r="F12" s="186"/>
      <c r="G12" s="240">
        <v>2500</v>
      </c>
      <c r="H12" s="150"/>
      <c r="I12" s="705" t="s">
        <v>376</v>
      </c>
      <c r="J12" s="121"/>
    </row>
    <row r="13" spans="2:10" ht="15">
      <c r="B13" s="121"/>
      <c r="C13" s="437">
        <v>43537</v>
      </c>
      <c r="D13" s="191" t="s">
        <v>461</v>
      </c>
      <c r="E13" s="191"/>
      <c r="F13" s="186"/>
      <c r="G13" s="240">
        <v>1000</v>
      </c>
      <c r="H13" s="150"/>
      <c r="I13" s="705" t="s">
        <v>376</v>
      </c>
      <c r="J13" s="133"/>
    </row>
    <row r="14" spans="2:10" ht="15">
      <c r="B14" s="121"/>
      <c r="C14" s="437">
        <v>43552</v>
      </c>
      <c r="D14" s="191" t="s">
        <v>462</v>
      </c>
      <c r="E14" s="191"/>
      <c r="F14" s="186"/>
      <c r="G14" s="240">
        <v>3500</v>
      </c>
      <c r="H14" s="150"/>
      <c r="I14" s="705" t="s">
        <v>488</v>
      </c>
      <c r="J14" s="133"/>
    </row>
    <row r="15" spans="2:10" ht="15">
      <c r="B15" s="121"/>
      <c r="C15" s="437">
        <v>43773</v>
      </c>
      <c r="D15" s="191" t="s">
        <v>489</v>
      </c>
      <c r="E15" s="191"/>
      <c r="F15" s="186"/>
      <c r="G15" s="608">
        <v>-1000</v>
      </c>
      <c r="H15" s="150"/>
      <c r="I15" s="705" t="s">
        <v>491</v>
      </c>
      <c r="J15" s="706"/>
    </row>
    <row r="16" spans="2:10" ht="15">
      <c r="B16" s="121"/>
      <c r="C16" s="437">
        <v>43552</v>
      </c>
      <c r="D16" s="191" t="s">
        <v>465</v>
      </c>
      <c r="E16" s="191"/>
      <c r="F16" s="186"/>
      <c r="G16" s="240">
        <v>3000</v>
      </c>
      <c r="H16" s="150"/>
      <c r="I16" s="705" t="s">
        <v>376</v>
      </c>
      <c r="J16" s="133"/>
    </row>
    <row r="17" spans="2:10" ht="15">
      <c r="B17" s="121"/>
      <c r="C17" s="437">
        <v>43605</v>
      </c>
      <c r="D17" s="191" t="s">
        <v>466</v>
      </c>
      <c r="E17" s="191"/>
      <c r="F17" s="186"/>
      <c r="G17" s="240">
        <v>2250</v>
      </c>
      <c r="H17" s="150"/>
      <c r="I17" s="705" t="s">
        <v>376</v>
      </c>
      <c r="J17" s="133"/>
    </row>
    <row r="18" spans="2:10" ht="15">
      <c r="B18" s="121"/>
      <c r="C18" s="437">
        <v>43738</v>
      </c>
      <c r="D18" s="191" t="s">
        <v>492</v>
      </c>
      <c r="E18" s="191"/>
      <c r="F18" s="186"/>
      <c r="G18" s="240">
        <v>4000</v>
      </c>
      <c r="H18" s="150"/>
      <c r="I18" s="705" t="s">
        <v>376</v>
      </c>
      <c r="J18" s="133"/>
    </row>
    <row r="19" spans="2:10" ht="15">
      <c r="B19" s="121"/>
      <c r="C19" s="437">
        <v>43773</v>
      </c>
      <c r="D19" s="191" t="s">
        <v>497</v>
      </c>
      <c r="E19" s="191"/>
      <c r="F19" s="186"/>
      <c r="G19" s="240">
        <v>4000</v>
      </c>
      <c r="H19" s="150"/>
      <c r="I19" s="708" t="s">
        <v>513</v>
      </c>
      <c r="J19" s="133"/>
    </row>
    <row r="20" spans="2:10" ht="15">
      <c r="B20" s="121"/>
      <c r="C20" s="437">
        <v>43773</v>
      </c>
      <c r="D20" s="191" t="s">
        <v>496</v>
      </c>
      <c r="E20" s="191"/>
      <c r="F20" s="186"/>
      <c r="G20" s="240">
        <v>1000</v>
      </c>
      <c r="H20" s="150"/>
      <c r="I20" s="705" t="s">
        <v>498</v>
      </c>
      <c r="J20" s="133"/>
    </row>
    <row r="21" spans="2:10" ht="15.75" thickBot="1">
      <c r="B21" s="121"/>
      <c r="C21" s="668"/>
      <c r="D21" s="669" t="s">
        <v>427</v>
      </c>
      <c r="E21" s="669"/>
      <c r="F21" s="670"/>
      <c r="G21" s="671">
        <v>21510.65</v>
      </c>
      <c r="H21" s="150"/>
      <c r="I21" s="150"/>
      <c r="J21" s="121"/>
    </row>
    <row r="22" spans="2:9" ht="15.75" thickBot="1">
      <c r="B22" s="121"/>
      <c r="C22" s="755">
        <v>43830</v>
      </c>
      <c r="D22" s="756" t="s">
        <v>2</v>
      </c>
      <c r="E22" s="756"/>
      <c r="F22" s="757"/>
      <c r="G22" s="758">
        <v>23863.16</v>
      </c>
      <c r="H22" s="150"/>
      <c r="I22" s="150"/>
    </row>
    <row r="23" spans="2:9" ht="15">
      <c r="B23" s="121"/>
      <c r="C23" s="437"/>
      <c r="D23" s="191" t="s">
        <v>528</v>
      </c>
      <c r="E23" s="191"/>
      <c r="F23" s="186"/>
      <c r="G23" s="240"/>
      <c r="H23" s="150"/>
      <c r="I23" s="150"/>
    </row>
    <row r="24" spans="2:9" ht="15">
      <c r="B24" s="121"/>
      <c r="C24" s="437"/>
      <c r="D24" s="191" t="s">
        <v>530</v>
      </c>
      <c r="E24" s="191"/>
      <c r="F24" s="186"/>
      <c r="G24" s="240"/>
      <c r="H24" s="150"/>
      <c r="I24" s="150"/>
    </row>
    <row r="25" spans="2:9" ht="15">
      <c r="B25" s="121"/>
      <c r="C25" s="437">
        <v>43831</v>
      </c>
      <c r="D25" s="191" t="s">
        <v>59</v>
      </c>
      <c r="E25" s="191"/>
      <c r="F25" s="186"/>
      <c r="G25" s="240">
        <v>1.6</v>
      </c>
      <c r="H25" s="150"/>
      <c r="I25" s="150"/>
    </row>
    <row r="26" spans="2:9" ht="15">
      <c r="B26" s="121"/>
      <c r="C26" s="759"/>
      <c r="D26" s="753" t="s">
        <v>531</v>
      </c>
      <c r="E26" s="753"/>
      <c r="F26" s="754"/>
      <c r="G26" s="760">
        <f>SUM(G24:G25)</f>
        <v>1.6</v>
      </c>
      <c r="H26" s="150"/>
      <c r="I26" s="150"/>
    </row>
    <row r="28" ht="13.5" thickBot="1"/>
    <row r="29" spans="2:9" ht="15.75" thickBot="1">
      <c r="B29" s="255" t="s">
        <v>122</v>
      </c>
      <c r="C29" s="203"/>
      <c r="D29" s="203"/>
      <c r="E29" s="447" t="s">
        <v>119</v>
      </c>
      <c r="F29" s="444"/>
      <c r="G29" s="150"/>
      <c r="H29" s="401"/>
      <c r="I29" s="235"/>
    </row>
    <row r="30" spans="2:9" ht="15">
      <c r="B30" s="665"/>
      <c r="C30" s="666" t="s">
        <v>483</v>
      </c>
      <c r="D30" s="666"/>
      <c r="E30" s="667"/>
      <c r="F30" s="507"/>
      <c r="G30" s="150"/>
      <c r="H30" s="150"/>
      <c r="I30" s="150"/>
    </row>
    <row r="31" spans="2:9" ht="15">
      <c r="B31" s="437">
        <v>43481</v>
      </c>
      <c r="C31" s="191" t="s">
        <v>428</v>
      </c>
      <c r="D31" s="191"/>
      <c r="E31" s="186"/>
      <c r="F31" s="240">
        <v>1000</v>
      </c>
      <c r="G31" s="150"/>
      <c r="H31" s="705" t="s">
        <v>430</v>
      </c>
      <c r="I31" s="150"/>
    </row>
    <row r="32" spans="2:9" ht="15">
      <c r="B32" s="437">
        <v>43483</v>
      </c>
      <c r="C32" s="191" t="s">
        <v>432</v>
      </c>
      <c r="D32" s="191"/>
      <c r="E32" s="186"/>
      <c r="F32" s="240">
        <v>3000</v>
      </c>
      <c r="G32" s="150"/>
      <c r="H32" s="705" t="s">
        <v>376</v>
      </c>
      <c r="I32" s="150"/>
    </row>
    <row r="33" spans="2:9" ht="15">
      <c r="B33" s="437">
        <v>43772</v>
      </c>
      <c r="C33" s="191" t="s">
        <v>468</v>
      </c>
      <c r="D33" s="191"/>
      <c r="E33" s="186"/>
      <c r="F33" s="707">
        <v>1000</v>
      </c>
      <c r="G33" s="150"/>
      <c r="H33" s="705" t="s">
        <v>487</v>
      </c>
      <c r="I33" s="150"/>
    </row>
    <row r="34" spans="2:9" ht="15.75" thickBot="1">
      <c r="B34" s="668"/>
      <c r="C34" s="669" t="s">
        <v>427</v>
      </c>
      <c r="D34" s="669"/>
      <c r="E34" s="670"/>
      <c r="F34" s="671">
        <v>5000</v>
      </c>
      <c r="G34" s="150"/>
      <c r="H34" s="150"/>
      <c r="I34" s="150"/>
    </row>
    <row r="35" spans="2:9" ht="15.75" thickBot="1">
      <c r="B35" s="111">
        <v>43830</v>
      </c>
      <c r="C35" s="105" t="s">
        <v>2</v>
      </c>
      <c r="D35" s="105"/>
      <c r="E35" s="572"/>
      <c r="F35" s="112">
        <v>0</v>
      </c>
      <c r="G35" s="150"/>
      <c r="H35" s="150"/>
      <c r="I35" s="150"/>
    </row>
    <row r="36" spans="2:9" ht="15.75" thickBot="1">
      <c r="B36" s="764"/>
      <c r="C36" s="762" t="s">
        <v>537</v>
      </c>
      <c r="D36" s="762"/>
      <c r="E36" s="765"/>
      <c r="F36" s="766"/>
      <c r="G36" s="150"/>
      <c r="H36" s="150"/>
      <c r="I36" s="150"/>
    </row>
    <row r="37" spans="2:9" ht="15.75" thickBot="1">
      <c r="B37" s="228"/>
      <c r="C37" s="229"/>
      <c r="D37" s="229"/>
      <c r="E37" s="227"/>
      <c r="F37" s="227"/>
      <c r="G37" s="150"/>
      <c r="H37" s="150"/>
      <c r="I37" s="150"/>
    </row>
    <row r="38" spans="2:11" ht="15">
      <c r="B38" s="255" t="s">
        <v>122</v>
      </c>
      <c r="C38" s="203"/>
      <c r="D38" s="203"/>
      <c r="E38" s="447" t="s">
        <v>119</v>
      </c>
      <c r="F38" s="444"/>
      <c r="G38" s="150"/>
      <c r="H38" s="401"/>
      <c r="I38" s="235"/>
      <c r="J38" s="235"/>
      <c r="K38" s="230"/>
    </row>
    <row r="39" spans="2:11" ht="15.75" thickBot="1">
      <c r="B39" s="119">
        <v>43100</v>
      </c>
      <c r="C39" s="262" t="s">
        <v>2</v>
      </c>
      <c r="D39" s="262"/>
      <c r="E39" s="262"/>
      <c r="F39" s="173">
        <v>1376.33</v>
      </c>
      <c r="G39" s="194"/>
      <c r="H39" s="235" t="e">
        <f>#REF!+#REF!</f>
        <v>#REF!</v>
      </c>
      <c r="I39" s="150"/>
      <c r="J39" s="122"/>
      <c r="K39" s="230"/>
    </row>
    <row r="40" spans="2:11" ht="15">
      <c r="B40" s="596"/>
      <c r="C40" s="597" t="s">
        <v>484</v>
      </c>
      <c r="D40" s="597"/>
      <c r="E40" s="597"/>
      <c r="F40" s="598"/>
      <c r="G40" s="194"/>
      <c r="H40" s="150"/>
      <c r="I40" s="150"/>
      <c r="J40" s="235" t="e">
        <f>F44+#REF!+#REF!</f>
        <v>#REF!</v>
      </c>
      <c r="K40" s="230" t="s">
        <v>385</v>
      </c>
    </row>
    <row r="41" spans="2:11" ht="15">
      <c r="B41" s="427">
        <v>42759</v>
      </c>
      <c r="C41" s="471" t="s">
        <v>370</v>
      </c>
      <c r="D41" s="471"/>
      <c r="E41" s="471"/>
      <c r="F41" s="193">
        <v>7120</v>
      </c>
      <c r="G41" s="194"/>
      <c r="H41" s="224" t="s">
        <v>376</v>
      </c>
      <c r="I41" s="150"/>
      <c r="J41" s="235" t="e">
        <f>#REF!+#REF!</f>
        <v>#REF!</v>
      </c>
      <c r="K41" s="230" t="s">
        <v>386</v>
      </c>
    </row>
    <row r="42" spans="2:11" ht="15">
      <c r="B42" s="427">
        <v>43442</v>
      </c>
      <c r="C42" s="427" t="s">
        <v>402</v>
      </c>
      <c r="D42" s="427"/>
      <c r="E42" s="427"/>
      <c r="F42" s="607">
        <v>232.6</v>
      </c>
      <c r="G42" s="194"/>
      <c r="H42" s="224" t="s">
        <v>376</v>
      </c>
      <c r="I42" s="150"/>
      <c r="J42" s="235"/>
      <c r="K42" s="230"/>
    </row>
    <row r="43" spans="2:11" ht="15">
      <c r="B43" s="427">
        <v>43442</v>
      </c>
      <c r="C43" s="471" t="s">
        <v>403</v>
      </c>
      <c r="D43" s="471"/>
      <c r="E43" s="471"/>
      <c r="F43" s="193">
        <v>598.17</v>
      </c>
      <c r="G43" s="194"/>
      <c r="H43" s="224" t="s">
        <v>376</v>
      </c>
      <c r="I43" s="150"/>
      <c r="J43" s="235"/>
      <c r="K43" s="230"/>
    </row>
    <row r="44" spans="2:11" ht="15.75" thickBot="1">
      <c r="B44" s="599"/>
      <c r="C44" s="600" t="s">
        <v>365</v>
      </c>
      <c r="D44" s="600"/>
      <c r="E44" s="600"/>
      <c r="F44" s="85">
        <f>SUM(F40:F43)</f>
        <v>7950.77</v>
      </c>
      <c r="G44" s="194"/>
      <c r="H44" s="150"/>
      <c r="I44" s="150"/>
      <c r="J44" s="150"/>
      <c r="K44" s="230"/>
    </row>
    <row r="45" spans="2:11" ht="15.75" thickBot="1">
      <c r="B45" s="574" t="e">
        <f>#REF!</f>
        <v>#REF!</v>
      </c>
      <c r="C45" s="575" t="s">
        <v>2</v>
      </c>
      <c r="D45" s="575"/>
      <c r="E45" s="575"/>
      <c r="F45" s="576" t="e">
        <f>F39+#REF!+F44</f>
        <v>#REF!</v>
      </c>
      <c r="G45" s="194"/>
      <c r="H45" s="235"/>
      <c r="I45" s="150"/>
      <c r="J45" s="150"/>
      <c r="K45" s="230"/>
    </row>
    <row r="46" spans="2:11" ht="15.75" thickBot="1">
      <c r="B46" s="665"/>
      <c r="C46" s="666" t="s">
        <v>424</v>
      </c>
      <c r="D46" s="666"/>
      <c r="E46" s="667"/>
      <c r="F46" s="507"/>
      <c r="G46" s="150"/>
      <c r="H46" s="150"/>
      <c r="I46" s="235" t="e">
        <f>F45+#REF!</f>
        <v>#REF!</v>
      </c>
      <c r="J46" s="150"/>
      <c r="K46" s="230"/>
    </row>
    <row r="47" spans="2:11" ht="15">
      <c r="B47" s="665"/>
      <c r="C47" s="666" t="s">
        <v>483</v>
      </c>
      <c r="D47" s="666"/>
      <c r="E47" s="667"/>
      <c r="F47" s="507"/>
      <c r="G47" s="150"/>
      <c r="H47" s="150"/>
      <c r="I47" s="150"/>
      <c r="J47" s="150"/>
      <c r="K47" s="230"/>
    </row>
    <row r="48" spans="2:11" ht="15">
      <c r="B48" s="437">
        <v>43481</v>
      </c>
      <c r="C48" s="191" t="s">
        <v>428</v>
      </c>
      <c r="D48" s="191"/>
      <c r="E48" s="186"/>
      <c r="F48" s="240">
        <v>1000</v>
      </c>
      <c r="G48" s="150"/>
      <c r="H48" s="705" t="s">
        <v>430</v>
      </c>
      <c r="I48" s="150"/>
      <c r="J48" s="150"/>
      <c r="K48" s="230"/>
    </row>
    <row r="49" spans="2:11" ht="15">
      <c r="B49" s="437">
        <v>43483</v>
      </c>
      <c r="C49" s="191" t="s">
        <v>432</v>
      </c>
      <c r="D49" s="191"/>
      <c r="E49" s="186"/>
      <c r="F49" s="240">
        <v>3000</v>
      </c>
      <c r="G49" s="150"/>
      <c r="H49" s="705" t="s">
        <v>376</v>
      </c>
      <c r="I49" s="150"/>
      <c r="J49" s="150"/>
      <c r="K49" s="230"/>
    </row>
    <row r="50" spans="2:11" ht="15">
      <c r="B50" s="437">
        <v>43772</v>
      </c>
      <c r="C50" s="191" t="s">
        <v>468</v>
      </c>
      <c r="D50" s="191"/>
      <c r="E50" s="186"/>
      <c r="F50" s="707">
        <v>1000</v>
      </c>
      <c r="G50" s="150"/>
      <c r="H50" s="705" t="s">
        <v>487</v>
      </c>
      <c r="I50" s="150"/>
      <c r="J50" s="150"/>
      <c r="K50" s="230"/>
    </row>
    <row r="51" spans="2:11" ht="15.75" thickBot="1">
      <c r="B51" s="668"/>
      <c r="C51" s="669" t="s">
        <v>427</v>
      </c>
      <c r="D51" s="669"/>
      <c r="E51" s="670"/>
      <c r="F51" s="671">
        <f>SUM(F47:F50)</f>
        <v>5000</v>
      </c>
      <c r="G51" s="150"/>
      <c r="H51" s="150"/>
      <c r="I51" s="150"/>
      <c r="J51" s="150"/>
      <c r="K51" s="230"/>
    </row>
    <row r="52" spans="2:11" ht="15.75" thickBot="1">
      <c r="B52" s="111" t="e">
        <f>#REF!</f>
        <v>#REF!</v>
      </c>
      <c r="C52" s="105" t="s">
        <v>2</v>
      </c>
      <c r="D52" s="105"/>
      <c r="E52" s="572"/>
      <c r="F52" s="112" t="e">
        <f>F45+#REF!+F51</f>
        <v>#REF!</v>
      </c>
      <c r="G52" s="150"/>
      <c r="H52" s="150"/>
      <c r="I52" s="150"/>
      <c r="J52" s="150"/>
      <c r="K52" s="230"/>
    </row>
    <row r="53" spans="2:11" ht="15">
      <c r="B53" s="703"/>
      <c r="C53" s="664" t="s">
        <v>501</v>
      </c>
      <c r="D53" s="664"/>
      <c r="E53" s="611"/>
      <c r="F53" s="611"/>
      <c r="G53" s="150"/>
      <c r="H53" s="150"/>
      <c r="I53" s="150"/>
      <c r="J53" s="150"/>
      <c r="K53" s="230"/>
    </row>
  </sheetData>
  <sheetProtection/>
  <printOptions/>
  <pageMargins left="0.7" right="0.7" top="0.75" bottom="0.75" header="0.3" footer="0.3"/>
  <pageSetup fitToHeight="1" fitToWidth="1" orientation="portrait" paperSize="9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PageLayoutView="0" workbookViewId="0" topLeftCell="A31">
      <selection activeCell="C53" sqref="C53"/>
    </sheetView>
  </sheetViews>
  <sheetFormatPr defaultColWidth="9.140625" defaultRowHeight="12.75"/>
  <cols>
    <col min="1" max="1" width="33.421875" style="0" customWidth="1"/>
    <col min="2" max="2" width="6.28125" style="0" customWidth="1"/>
    <col min="3" max="4" width="20.00390625" style="0" customWidth="1"/>
    <col min="5" max="5" width="6.57421875" style="0" customWidth="1"/>
    <col min="6" max="6" width="35.00390625" style="0" customWidth="1"/>
    <col min="7" max="7" width="7.8515625" style="0" customWidth="1"/>
    <col min="8" max="8" width="16.00390625" style="0" customWidth="1"/>
    <col min="9" max="9" width="17.00390625" style="0" customWidth="1"/>
    <col min="10" max="10" width="14.421875" style="0" customWidth="1"/>
    <col min="11" max="11" width="3.00390625" style="0" customWidth="1"/>
    <col min="12" max="12" width="49.57421875" style="0" customWidth="1"/>
    <col min="13" max="13" width="17.00390625" style="0" customWidth="1"/>
    <col min="14" max="14" width="20.57421875" style="0" customWidth="1"/>
    <col min="15" max="15" width="1.7109375" style="0" customWidth="1"/>
    <col min="16" max="16" width="35.00390625" style="0" customWidth="1"/>
    <col min="17" max="17" width="7.8515625" style="0" customWidth="1"/>
    <col min="18" max="18" width="12.421875" style="0" customWidth="1"/>
    <col min="19" max="19" width="13.8515625" style="0" customWidth="1"/>
    <col min="20" max="20" width="14.00390625" style="0" customWidth="1"/>
  </cols>
  <sheetData>
    <row r="1" spans="1:19" ht="18" thickBot="1">
      <c r="A1" s="294" t="s">
        <v>168</v>
      </c>
      <c r="B1" s="295"/>
      <c r="C1" s="295"/>
      <c r="D1" s="295"/>
      <c r="E1" s="296"/>
      <c r="F1" s="297"/>
      <c r="G1" s="297"/>
      <c r="H1" s="297"/>
      <c r="I1" s="809"/>
      <c r="Q1" s="393"/>
      <c r="R1" s="393"/>
      <c r="S1" s="393"/>
    </row>
    <row r="2" spans="1:20" ht="21" thickBot="1">
      <c r="A2" s="454" t="s">
        <v>514</v>
      </c>
      <c r="B2" s="299"/>
      <c r="C2" s="95" t="s">
        <v>540</v>
      </c>
      <c r="D2" s="95"/>
      <c r="E2" s="300"/>
      <c r="F2" s="301"/>
      <c r="G2" s="301"/>
      <c r="H2" s="301"/>
      <c r="I2" s="810"/>
      <c r="L2" s="454" t="s">
        <v>517</v>
      </c>
      <c r="M2" s="486"/>
      <c r="N2" s="738"/>
      <c r="O2" s="646"/>
      <c r="P2" s="304"/>
      <c r="Q2" s="394"/>
      <c r="R2" s="394"/>
      <c r="S2" s="394"/>
      <c r="T2" s="632"/>
    </row>
    <row r="3" spans="1:20" ht="15">
      <c r="A3" s="306"/>
      <c r="B3" s="307"/>
      <c r="C3" s="307"/>
      <c r="D3" s="307"/>
      <c r="E3" s="308"/>
      <c r="F3" s="309"/>
      <c r="G3" s="309"/>
      <c r="H3" s="309"/>
      <c r="I3" s="512"/>
      <c r="L3" s="310"/>
      <c r="M3" s="311"/>
      <c r="N3" s="312"/>
      <c r="O3" s="647"/>
      <c r="P3" s="313"/>
      <c r="Q3" s="395"/>
      <c r="R3" s="395"/>
      <c r="S3" s="395"/>
      <c r="T3" s="631"/>
    </row>
    <row r="4" spans="1:20" ht="15">
      <c r="A4" s="900" t="s">
        <v>515</v>
      </c>
      <c r="B4" s="901"/>
      <c r="C4" s="901"/>
      <c r="D4" s="901"/>
      <c r="E4" s="901"/>
      <c r="F4" s="901"/>
      <c r="G4" s="901"/>
      <c r="H4" s="901"/>
      <c r="I4" s="902"/>
      <c r="L4" s="315"/>
      <c r="M4" s="313"/>
      <c r="N4" s="314"/>
      <c r="O4" s="648"/>
      <c r="P4" s="313"/>
      <c r="Q4" s="395"/>
      <c r="R4" s="395"/>
      <c r="S4" s="395"/>
      <c r="T4" s="631"/>
    </row>
    <row r="5" spans="1:21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>
        <f>SUM(H10:H18)</f>
        <v>27574.26</v>
      </c>
      <c r="I5" s="513"/>
      <c r="L5" s="319" t="s">
        <v>175</v>
      </c>
      <c r="M5" s="320">
        <v>2020</v>
      </c>
      <c r="N5" s="523">
        <v>2019</v>
      </c>
      <c r="O5" s="649"/>
      <c r="P5" s="320" t="s">
        <v>541</v>
      </c>
      <c r="Q5" s="396"/>
      <c r="R5" s="396">
        <v>2020</v>
      </c>
      <c r="S5" s="396">
        <v>2019</v>
      </c>
      <c r="T5" s="631"/>
      <c r="U5" s="150"/>
    </row>
    <row r="6" spans="1:21" ht="15">
      <c r="A6" s="213"/>
      <c r="B6" s="39"/>
      <c r="C6" s="322">
        <v>43830</v>
      </c>
      <c r="D6" s="656">
        <v>43465</v>
      </c>
      <c r="E6" s="33"/>
      <c r="F6" s="324"/>
      <c r="G6" s="324"/>
      <c r="H6" s="323">
        <v>43830</v>
      </c>
      <c r="I6" s="325">
        <v>43465</v>
      </c>
      <c r="L6" s="315"/>
      <c r="M6" s="313"/>
      <c r="N6" s="314"/>
      <c r="O6" s="648"/>
      <c r="P6" s="313"/>
      <c r="Q6" s="395"/>
      <c r="R6" s="395"/>
      <c r="S6" s="395"/>
      <c r="T6" s="58"/>
      <c r="U6" s="150"/>
    </row>
    <row r="7" spans="1:21" ht="15">
      <c r="A7" s="213"/>
      <c r="B7" s="39"/>
      <c r="C7" s="39"/>
      <c r="D7" s="24"/>
      <c r="E7" s="33"/>
      <c r="F7" s="324"/>
      <c r="G7" s="324"/>
      <c r="H7" s="324"/>
      <c r="I7" s="514"/>
      <c r="L7" s="327" t="s">
        <v>522</v>
      </c>
      <c r="M7" s="489">
        <f>C8</f>
        <v>0.02</v>
      </c>
      <c r="N7" s="328">
        <f>D8</f>
        <v>0</v>
      </c>
      <c r="O7" s="625"/>
      <c r="P7" s="744"/>
      <c r="Q7" s="744"/>
      <c r="R7" s="744"/>
      <c r="S7" s="744"/>
      <c r="T7" s="58"/>
      <c r="U7" s="150"/>
    </row>
    <row r="8" spans="1:21" ht="15">
      <c r="A8" s="213" t="s">
        <v>522</v>
      </c>
      <c r="B8" s="39"/>
      <c r="C8" s="215">
        <f>'31 dec 2019'!C16</f>
        <v>0.02</v>
      </c>
      <c r="D8" s="214">
        <v>0</v>
      </c>
      <c r="E8" s="33"/>
      <c r="F8" s="388" t="s">
        <v>204</v>
      </c>
      <c r="G8" s="388"/>
      <c r="H8" s="515">
        <f>'project 2019'!F245</f>
        <v>704.330000000009</v>
      </c>
      <c r="I8" s="515">
        <f>'project 2018 def'!F361</f>
        <v>704.330000000009</v>
      </c>
      <c r="L8" s="327" t="s">
        <v>215</v>
      </c>
      <c r="M8" s="489">
        <f>C9</f>
        <v>4415.41</v>
      </c>
      <c r="N8" s="328">
        <f>D9</f>
        <v>1094.79</v>
      </c>
      <c r="O8" s="625"/>
      <c r="P8" s="744"/>
      <c r="Q8" s="744"/>
      <c r="R8" s="744"/>
      <c r="S8" s="744"/>
      <c r="T8" s="58"/>
      <c r="U8" s="150"/>
    </row>
    <row r="9" spans="1:21" ht="15">
      <c r="A9" s="213" t="s">
        <v>293</v>
      </c>
      <c r="B9" s="39"/>
      <c r="C9" s="215">
        <f>'31 dec 2019'!C17</f>
        <v>4415.41</v>
      </c>
      <c r="D9" s="214">
        <v>1094.79</v>
      </c>
      <c r="E9" s="33"/>
      <c r="F9" s="331"/>
      <c r="G9" s="331"/>
      <c r="H9" s="253"/>
      <c r="I9" s="332"/>
      <c r="L9" s="327" t="s">
        <v>73</v>
      </c>
      <c r="M9" s="489">
        <f>C12</f>
        <v>23863.16</v>
      </c>
      <c r="N9" s="328">
        <f>D12</f>
        <v>3563.67</v>
      </c>
      <c r="O9" s="625"/>
      <c r="P9" s="744"/>
      <c r="Q9" s="744"/>
      <c r="R9" s="744"/>
      <c r="S9" s="744"/>
      <c r="T9" s="58"/>
      <c r="U9" s="150"/>
    </row>
    <row r="10" spans="1:21" ht="15">
      <c r="A10" s="711"/>
      <c r="B10" s="24"/>
      <c r="C10" s="215"/>
      <c r="D10" s="24"/>
      <c r="E10" s="33"/>
      <c r="F10" s="331" t="str">
        <f>'31 dec 2019'!E16</f>
        <v>*Tuinwerkgroep</v>
      </c>
      <c r="G10" s="487">
        <f>'31 dec 2019'!F16</f>
        <v>1</v>
      </c>
      <c r="H10" s="235">
        <f>'project 2019'!F15</f>
        <v>0.02</v>
      </c>
      <c r="I10" s="267">
        <f>'project 2018'!F26</f>
        <v>-6.934730567564884E-14</v>
      </c>
      <c r="J10" s="235"/>
      <c r="K10" s="132"/>
      <c r="L10" s="327"/>
      <c r="M10" s="453"/>
      <c r="N10" s="739"/>
      <c r="O10" s="625"/>
      <c r="P10" s="330" t="str">
        <f>F10</f>
        <v>*Tuinwerkgroep</v>
      </c>
      <c r="Q10" s="745">
        <f>G10</f>
        <v>1</v>
      </c>
      <c r="R10" s="489">
        <f>'project 2019'!P15</f>
        <v>0</v>
      </c>
      <c r="S10" s="489">
        <f>'project 2018'!P26</f>
        <v>0</v>
      </c>
      <c r="T10" s="58"/>
      <c r="U10" s="150"/>
    </row>
    <row r="11" spans="1:21" ht="15">
      <c r="A11" s="237"/>
      <c r="B11" s="24"/>
      <c r="C11" s="215"/>
      <c r="D11" s="24"/>
      <c r="E11" s="33"/>
      <c r="F11" s="331" t="str">
        <f>'31 dec 2019'!E19</f>
        <v>*Reservering diversen</v>
      </c>
      <c r="G11" s="487">
        <f>'31 dec 2019'!F19</f>
        <v>4</v>
      </c>
      <c r="H11" s="235">
        <f>'project 2019'!F66</f>
        <v>354.98</v>
      </c>
      <c r="I11" s="267">
        <f>'project 2018'!F123</f>
        <v>14.94000000000007</v>
      </c>
      <c r="J11" s="235"/>
      <c r="L11" s="327" t="s">
        <v>59</v>
      </c>
      <c r="M11" s="489">
        <v>1.5</v>
      </c>
      <c r="N11" s="328">
        <v>3</v>
      </c>
      <c r="O11" s="625"/>
      <c r="P11" s="330" t="str">
        <f aca="true" t="shared" si="0" ref="P11:P17">F11</f>
        <v>*Reservering diversen</v>
      </c>
      <c r="Q11" s="745">
        <f aca="true" t="shared" si="1" ref="Q11:Q17">G11</f>
        <v>4</v>
      </c>
      <c r="R11" s="489">
        <f aca="true" t="shared" si="2" ref="R11:R17">H11</f>
        <v>354.98</v>
      </c>
      <c r="S11" s="489">
        <f>'project 2018'!F123</f>
        <v>14.94000000000007</v>
      </c>
      <c r="T11" s="58"/>
      <c r="U11" s="150"/>
    </row>
    <row r="12" spans="1:21" ht="15">
      <c r="A12" s="213" t="s">
        <v>73</v>
      </c>
      <c r="B12" s="39"/>
      <c r="C12" s="215">
        <f>'31 dec 2019'!C22</f>
        <v>23863.16</v>
      </c>
      <c r="D12" s="214">
        <v>3563.67</v>
      </c>
      <c r="E12" s="33"/>
      <c r="F12" s="331" t="str">
        <f>'31 dec 2019'!E21</f>
        <v>*Te besteden herinrichting ruimte</v>
      </c>
      <c r="G12" s="487">
        <f>'31 dec 2019'!F21</f>
        <v>6</v>
      </c>
      <c r="H12" s="235">
        <f>'project 2019'!F83</f>
        <v>31.44</v>
      </c>
      <c r="I12" s="267">
        <f>'project 2018'!F160</f>
        <v>31.440000000000012</v>
      </c>
      <c r="J12" s="235"/>
      <c r="L12" s="327" t="s">
        <v>180</v>
      </c>
      <c r="M12" s="489">
        <v>25</v>
      </c>
      <c r="N12" s="328">
        <v>50</v>
      </c>
      <c r="O12" s="625"/>
      <c r="P12" s="330" t="str">
        <f t="shared" si="0"/>
        <v>*Te besteden herinrichting ruimte</v>
      </c>
      <c r="Q12" s="745">
        <f t="shared" si="1"/>
        <v>6</v>
      </c>
      <c r="R12" s="489">
        <f t="shared" si="2"/>
        <v>31.44</v>
      </c>
      <c r="S12" s="489">
        <f>'project 2018'!F160</f>
        <v>31.440000000000012</v>
      </c>
      <c r="T12" s="216"/>
      <c r="U12" s="150"/>
    </row>
    <row r="13" spans="1:21" ht="15">
      <c r="A13" s="711"/>
      <c r="B13" s="214"/>
      <c r="C13" s="215"/>
      <c r="D13" s="24"/>
      <c r="E13" s="33"/>
      <c r="F13" s="331" t="str">
        <f>'31 dec 2019'!E22</f>
        <v>*Te besteden 50 dingen boekje</v>
      </c>
      <c r="G13" s="487">
        <f>'31 dec 2019'!F22</f>
        <v>7</v>
      </c>
      <c r="H13" s="235">
        <f>'project 2019'!F131</f>
        <v>23863.16</v>
      </c>
      <c r="I13" s="267">
        <f>'project 2018'!F223</f>
        <v>5063.669999999998</v>
      </c>
      <c r="J13" s="235"/>
      <c r="L13" s="742" t="s">
        <v>524</v>
      </c>
      <c r="M13" s="743"/>
      <c r="N13" s="739"/>
      <c r="O13" s="625"/>
      <c r="P13" s="330" t="str">
        <f t="shared" si="0"/>
        <v>*Te besteden 50 dingen boekje</v>
      </c>
      <c r="Q13" s="745">
        <f t="shared" si="1"/>
        <v>7</v>
      </c>
      <c r="R13" s="489">
        <f t="shared" si="2"/>
        <v>23863.16</v>
      </c>
      <c r="S13" s="489">
        <f>'project 2018'!F223</f>
        <v>5063.669999999998</v>
      </c>
      <c r="T13" s="58"/>
      <c r="U13" s="224"/>
    </row>
    <row r="14" spans="1:21" ht="15">
      <c r="A14" s="237"/>
      <c r="B14" s="24"/>
      <c r="C14" s="24"/>
      <c r="D14" s="24"/>
      <c r="E14" s="33"/>
      <c r="F14" s="331" t="str">
        <f>'31 dec 2019'!E23</f>
        <v>*Basisonderwijs/st. Ronde Venen fonds</v>
      </c>
      <c r="G14" s="487">
        <f>'31 dec 2019'!F23</f>
        <v>8</v>
      </c>
      <c r="H14" s="235">
        <f>'project 2019'!F156</f>
        <v>1250</v>
      </c>
      <c r="I14" s="267">
        <f>'project 2018'!F245</f>
        <v>1500</v>
      </c>
      <c r="J14" s="235"/>
      <c r="L14" s="742" t="s">
        <v>525</v>
      </c>
      <c r="M14" s="743" t="s">
        <v>526</v>
      </c>
      <c r="N14" s="739"/>
      <c r="O14" s="625"/>
      <c r="P14" s="330" t="str">
        <f t="shared" si="0"/>
        <v>*Basisonderwijs/st. Ronde Venen fonds</v>
      </c>
      <c r="Q14" s="745">
        <f t="shared" si="1"/>
        <v>8</v>
      </c>
      <c r="R14" s="489">
        <f t="shared" si="2"/>
        <v>1250</v>
      </c>
      <c r="S14" s="489">
        <f>'project 2018'!F245</f>
        <v>1500</v>
      </c>
      <c r="T14" s="58"/>
      <c r="U14" s="224"/>
    </row>
    <row r="15" spans="1:21" ht="15">
      <c r="A15" s="238"/>
      <c r="B15" s="224"/>
      <c r="C15" s="224"/>
      <c r="D15" s="24"/>
      <c r="E15" s="33"/>
      <c r="F15" s="331" t="str">
        <f>'31 dec 2019'!E24</f>
        <v>*Stichting Doen/Oranjefonds</v>
      </c>
      <c r="G15" s="487">
        <f>'31 dec 2019'!F24</f>
        <v>9</v>
      </c>
      <c r="H15" s="235">
        <f>'project 2019'!F171</f>
        <v>48.66</v>
      </c>
      <c r="I15" s="267">
        <f>'project 2018'!F266</f>
        <v>48.66</v>
      </c>
      <c r="J15" s="235"/>
      <c r="L15" s="327"/>
      <c r="M15" s="453"/>
      <c r="N15" s="739"/>
      <c r="O15" s="625"/>
      <c r="P15" s="330" t="str">
        <f t="shared" si="0"/>
        <v>*Stichting Doen/Oranjefonds</v>
      </c>
      <c r="Q15" s="745">
        <f t="shared" si="1"/>
        <v>9</v>
      </c>
      <c r="R15" s="489">
        <f t="shared" si="2"/>
        <v>48.66</v>
      </c>
      <c r="S15" s="489">
        <f>'project 2018'!F266</f>
        <v>48.66</v>
      </c>
      <c r="T15" s="58"/>
      <c r="U15" s="224"/>
    </row>
    <row r="16" spans="1:21" ht="15">
      <c r="A16" s="238"/>
      <c r="B16" s="224"/>
      <c r="C16" s="224"/>
      <c r="D16" s="24"/>
      <c r="E16" s="33"/>
      <c r="F16" s="331" t="str">
        <f>'31 dec 2019'!E26</f>
        <v>*25 jarig bestaan</v>
      </c>
      <c r="G16" s="487">
        <f>'31 dec 2019'!F26</f>
        <v>11</v>
      </c>
      <c r="H16" s="235">
        <f>'project 2019'!F205</f>
        <v>0</v>
      </c>
      <c r="I16" s="609">
        <f>'project 2018'!F346</f>
        <v>-3630.5800000000054</v>
      </c>
      <c r="J16" s="235"/>
      <c r="L16" s="327"/>
      <c r="M16" s="453"/>
      <c r="N16" s="739"/>
      <c r="O16" s="625"/>
      <c r="P16" s="330" t="str">
        <f t="shared" si="0"/>
        <v>*25 jarig bestaan</v>
      </c>
      <c r="Q16" s="745">
        <f t="shared" si="1"/>
        <v>11</v>
      </c>
      <c r="R16" s="489">
        <f t="shared" si="2"/>
        <v>0</v>
      </c>
      <c r="S16" s="489">
        <v>1369.42</v>
      </c>
      <c r="T16" s="58"/>
      <c r="U16" s="224"/>
    </row>
    <row r="17" spans="1:21" ht="15">
      <c r="A17" s="213"/>
      <c r="B17" s="39"/>
      <c r="C17" s="39"/>
      <c r="D17" s="24"/>
      <c r="E17" s="33"/>
      <c r="F17" s="331" t="str">
        <f>'31 dec 2019'!E27</f>
        <v>*Ontwikkeling NME (1)</v>
      </c>
      <c r="G17" s="487">
        <f>'31 dec 2019'!F27</f>
        <v>12</v>
      </c>
      <c r="H17" s="235">
        <f>'project 2019'!F223</f>
        <v>2026</v>
      </c>
      <c r="I17" s="267">
        <f>'project 2018'!F369</f>
        <v>926</v>
      </c>
      <c r="J17" s="235"/>
      <c r="L17" s="327" t="s">
        <v>523</v>
      </c>
      <c r="M17" s="453"/>
      <c r="N17" s="453"/>
      <c r="O17" s="625"/>
      <c r="P17" s="330" t="str">
        <f t="shared" si="0"/>
        <v>*Ontwikkeling NME (1)</v>
      </c>
      <c r="Q17" s="745">
        <f t="shared" si="1"/>
        <v>12</v>
      </c>
      <c r="R17" s="489">
        <f t="shared" si="2"/>
        <v>2026</v>
      </c>
      <c r="S17" s="612">
        <f>'project 2018'!F369</f>
        <v>926</v>
      </c>
      <c r="T17" s="58" t="s">
        <v>417</v>
      </c>
      <c r="U17" s="235"/>
    </row>
    <row r="18" spans="1:20" ht="15">
      <c r="A18" s="213"/>
      <c r="B18" s="39"/>
      <c r="C18" s="39"/>
      <c r="D18" s="24"/>
      <c r="E18" s="33"/>
      <c r="F18" s="331" t="str">
        <f>'31 dec 2019'!E28</f>
        <v>Izettle</v>
      </c>
      <c r="G18" s="487">
        <f>'31 dec 2019'!F28</f>
        <v>13</v>
      </c>
      <c r="H18" s="215">
        <f>'project 2019'!F239</f>
        <v>0</v>
      </c>
      <c r="I18" s="267"/>
      <c r="J18" s="235"/>
      <c r="L18" s="500" t="s">
        <v>295</v>
      </c>
      <c r="M18" s="710"/>
      <c r="N18" s="739"/>
      <c r="O18" s="625"/>
      <c r="P18" s="744"/>
      <c r="Q18" s="744"/>
      <c r="R18" s="489"/>
      <c r="S18" s="744"/>
      <c r="T18" s="58"/>
    </row>
    <row r="19" spans="1:20" ht="15">
      <c r="A19" s="213"/>
      <c r="B19" s="39"/>
      <c r="C19" s="39"/>
      <c r="D19" s="24"/>
      <c r="E19" s="33"/>
      <c r="F19" s="253"/>
      <c r="G19" s="401"/>
      <c r="H19" s="235"/>
      <c r="I19" s="578"/>
      <c r="J19" s="235"/>
      <c r="L19" s="500" t="s">
        <v>434</v>
      </c>
      <c r="M19" s="710"/>
      <c r="N19" s="328">
        <v>4000</v>
      </c>
      <c r="O19" s="625"/>
      <c r="P19" s="334"/>
      <c r="Q19" s="398"/>
      <c r="R19" s="489"/>
      <c r="S19" s="612"/>
      <c r="T19" s="58"/>
    </row>
    <row r="20" spans="1:20" ht="15">
      <c r="A20" s="213"/>
      <c r="B20" s="39"/>
      <c r="C20" s="39"/>
      <c r="D20" s="24"/>
      <c r="E20" s="33"/>
      <c r="F20" s="24"/>
      <c r="G20" s="24"/>
      <c r="H20" s="24"/>
      <c r="I20" s="58"/>
      <c r="J20" s="235"/>
      <c r="L20" s="327" t="s">
        <v>435</v>
      </c>
      <c r="M20" s="453"/>
      <c r="N20" s="328">
        <v>1000</v>
      </c>
      <c r="O20" s="625"/>
      <c r="P20" s="334"/>
      <c r="Q20" s="398"/>
      <c r="R20" s="489"/>
      <c r="S20" s="612"/>
      <c r="T20" s="216"/>
    </row>
    <row r="21" spans="1:20" ht="15">
      <c r="A21" s="213"/>
      <c r="B21" s="39"/>
      <c r="C21" s="39"/>
      <c r="D21" s="24"/>
      <c r="E21" s="33"/>
      <c r="F21" s="24"/>
      <c r="G21" s="24"/>
      <c r="H21" s="24"/>
      <c r="I21" s="58"/>
      <c r="J21" s="235"/>
      <c r="L21" s="500" t="s">
        <v>440</v>
      </c>
      <c r="M21" s="710"/>
      <c r="N21" s="328">
        <v>2000</v>
      </c>
      <c r="O21" s="625"/>
      <c r="P21" s="453" t="s">
        <v>224</v>
      </c>
      <c r="Q21" s="398"/>
      <c r="R21" s="489">
        <f>SUM(R10:R20)</f>
        <v>27574.239999999998</v>
      </c>
      <c r="S21" s="612">
        <f>SUM(S11:S20)</f>
        <v>8954.129999999997</v>
      </c>
      <c r="T21" s="216"/>
    </row>
    <row r="22" spans="1:20" ht="15.75" thickBot="1">
      <c r="A22" s="213"/>
      <c r="B22" s="39"/>
      <c r="C22" s="39"/>
      <c r="D22" s="24"/>
      <c r="E22" s="33"/>
      <c r="F22" s="24"/>
      <c r="G22" s="24"/>
      <c r="H22" s="24"/>
      <c r="I22" s="58"/>
      <c r="J22" s="331"/>
      <c r="L22" s="740" t="s">
        <v>439</v>
      </c>
      <c r="M22" s="741"/>
      <c r="N22" s="526">
        <v>2500</v>
      </c>
      <c r="O22" s="625"/>
      <c r="P22" s="502" t="s">
        <v>163</v>
      </c>
      <c r="Q22" s="503"/>
      <c r="R22" s="613">
        <f>R23-R21</f>
        <v>730.8500000000022</v>
      </c>
      <c r="S22" s="613">
        <f>S23-S21</f>
        <v>2757.3300000000017</v>
      </c>
      <c r="T22" s="216"/>
    </row>
    <row r="23" spans="1:20" ht="15" thickBot="1">
      <c r="A23" s="413" t="s">
        <v>205</v>
      </c>
      <c r="B23" s="339"/>
      <c r="C23" s="339">
        <f>SUM(C8:C14)</f>
        <v>28278.59</v>
      </c>
      <c r="D23" s="339">
        <f>SUM(D8:D14)</f>
        <v>4658.46</v>
      </c>
      <c r="E23" s="340"/>
      <c r="F23" s="341"/>
      <c r="G23" s="341"/>
      <c r="H23" s="339">
        <f>C23</f>
        <v>28278.59</v>
      </c>
      <c r="I23" s="343">
        <f>D23</f>
        <v>4658.46</v>
      </c>
      <c r="J23" s="339"/>
      <c r="K23" s="132"/>
      <c r="L23" s="633" t="s">
        <v>79</v>
      </c>
      <c r="M23" s="634">
        <f>SUM(M7:M21)</f>
        <v>28305.09</v>
      </c>
      <c r="N23" s="634">
        <f>SUM(N7:N21)</f>
        <v>11711.46</v>
      </c>
      <c r="O23" s="650"/>
      <c r="P23" s="645" t="s">
        <v>79</v>
      </c>
      <c r="Q23" s="635"/>
      <c r="R23" s="634">
        <f>M23</f>
        <v>28305.09</v>
      </c>
      <c r="S23" s="634">
        <f>N23</f>
        <v>11711.46</v>
      </c>
      <c r="T23" s="211"/>
    </row>
    <row r="24" spans="1:20" ht="15" thickBot="1">
      <c r="A24" s="349"/>
      <c r="B24" s="350"/>
      <c r="C24" s="350"/>
      <c r="D24" s="350"/>
      <c r="E24" s="352"/>
      <c r="F24" s="488"/>
      <c r="G24" s="350"/>
      <c r="H24" s="350"/>
      <c r="I24" s="517"/>
      <c r="L24" s="637"/>
      <c r="M24" s="638"/>
      <c r="N24" s="638"/>
      <c r="O24" s="639"/>
      <c r="P24" s="640"/>
      <c r="Q24" s="641"/>
      <c r="R24" s="641"/>
      <c r="S24" s="641"/>
      <c r="T24" s="211"/>
    </row>
    <row r="25" spans="1:21" ht="15" thickBot="1">
      <c r="A25" s="349"/>
      <c r="B25" s="350"/>
      <c r="C25" s="350"/>
      <c r="D25" s="350"/>
      <c r="E25" s="352"/>
      <c r="F25" s="24"/>
      <c r="G25" s="24"/>
      <c r="H25" s="24"/>
      <c r="I25" s="216"/>
      <c r="L25" s="643"/>
      <c r="M25" s="626"/>
      <c r="N25" s="626"/>
      <c r="O25" s="651"/>
      <c r="P25" s="628"/>
      <c r="Q25" s="629"/>
      <c r="R25" s="629"/>
      <c r="S25" s="629"/>
      <c r="T25" s="644"/>
      <c r="U25" s="501"/>
    </row>
    <row r="26" spans="1:21" ht="15" thickBot="1">
      <c r="A26" s="546" t="s">
        <v>412</v>
      </c>
      <c r="B26" s="811"/>
      <c r="C26" s="811"/>
      <c r="D26" s="812">
        <f>C23-D23</f>
        <v>23620.13</v>
      </c>
      <c r="E26" s="813"/>
      <c r="F26" s="814"/>
      <c r="G26" s="814"/>
      <c r="H26" s="814"/>
      <c r="I26" s="815"/>
      <c r="L26" s="618"/>
      <c r="M26" s="619"/>
      <c r="N26" s="619"/>
      <c r="O26" s="652"/>
      <c r="P26" s="619"/>
      <c r="Q26" s="621"/>
      <c r="R26" s="621"/>
      <c r="S26" s="622"/>
      <c r="T26" s="624"/>
      <c r="U26" s="501"/>
    </row>
    <row r="27" spans="1:20" ht="15">
      <c r="A27" s="903"/>
      <c r="B27" s="904"/>
      <c r="C27" s="904"/>
      <c r="D27" s="904"/>
      <c r="E27" s="904"/>
      <c r="F27" s="904"/>
      <c r="G27" s="904"/>
      <c r="H27" s="904"/>
      <c r="I27" s="904"/>
      <c r="L27" s="586"/>
      <c r="M27" s="586"/>
      <c r="N27" s="586"/>
      <c r="O27" s="150"/>
      <c r="P27" s="150"/>
      <c r="Q27" s="401"/>
      <c r="R27" s="401"/>
      <c r="S27" s="401"/>
      <c r="T27" s="150"/>
    </row>
    <row r="28" spans="1:21" ht="13.5">
      <c r="A28" s="362"/>
      <c r="B28" s="363"/>
      <c r="C28" s="363"/>
      <c r="D28" s="363"/>
      <c r="E28" s="365"/>
      <c r="F28" s="317"/>
      <c r="G28" s="317"/>
      <c r="H28" s="317">
        <f>H23-H13-H10</f>
        <v>4415.41</v>
      </c>
      <c r="I28" s="317"/>
      <c r="L28" s="586"/>
      <c r="M28" s="586"/>
      <c r="N28" s="586"/>
      <c r="O28" s="150"/>
      <c r="P28" s="150"/>
      <c r="Q28" s="401"/>
      <c r="R28" s="401"/>
      <c r="S28" s="401"/>
      <c r="T28" s="150"/>
      <c r="U28" s="150"/>
    </row>
    <row r="31" spans="1:9" ht="15">
      <c r="A31" s="912" t="s">
        <v>516</v>
      </c>
      <c r="B31" s="913"/>
      <c r="C31" s="913"/>
      <c r="D31" s="913"/>
      <c r="E31" s="913"/>
      <c r="F31" s="913"/>
      <c r="G31" s="913"/>
      <c r="H31" s="913"/>
      <c r="I31" s="914"/>
    </row>
    <row r="32" spans="1:9" ht="13.5">
      <c r="A32" s="714" t="s">
        <v>175</v>
      </c>
      <c r="B32" s="363"/>
      <c r="C32" s="363"/>
      <c r="D32" s="363"/>
      <c r="E32" s="365"/>
      <c r="F32" s="317" t="s">
        <v>176</v>
      </c>
      <c r="G32" s="317"/>
      <c r="H32" s="317"/>
      <c r="I32" s="715"/>
    </row>
    <row r="33" spans="1:9" ht="12.75">
      <c r="A33" s="716"/>
      <c r="B33" s="24"/>
      <c r="C33" s="24">
        <v>2019</v>
      </c>
      <c r="D33" s="24">
        <v>2018</v>
      </c>
      <c r="E33" s="368"/>
      <c r="F33" s="24"/>
      <c r="G33" s="24"/>
      <c r="H33" s="24">
        <v>2019</v>
      </c>
      <c r="I33" s="717">
        <v>2018</v>
      </c>
    </row>
    <row r="34" spans="1:9" ht="13.5">
      <c r="A34" s="718"/>
      <c r="B34" s="20"/>
      <c r="C34" s="24"/>
      <c r="D34" s="20"/>
      <c r="E34" s="24"/>
      <c r="F34" s="39" t="s">
        <v>210</v>
      </c>
      <c r="G34" s="20" t="s">
        <v>110</v>
      </c>
      <c r="H34" s="214">
        <f>'31 dec 2019'!K16</f>
        <v>0</v>
      </c>
      <c r="I34" s="719">
        <v>-232.6</v>
      </c>
    </row>
    <row r="35" spans="1:9" ht="12.75">
      <c r="A35" s="720" t="s">
        <v>194</v>
      </c>
      <c r="B35" s="224" t="s">
        <v>110</v>
      </c>
      <c r="C35" s="214">
        <f>'31 dec 2019'!J16</f>
        <v>0.02</v>
      </c>
      <c r="D35" s="252">
        <v>0.08</v>
      </c>
      <c r="E35" s="39"/>
      <c r="F35" s="656" t="s">
        <v>108</v>
      </c>
      <c r="G35" s="24" t="s">
        <v>109</v>
      </c>
      <c r="H35" s="214">
        <f>'31 dec 2019'!I17</f>
        <v>0</v>
      </c>
      <c r="I35" s="719">
        <v>-598.17</v>
      </c>
    </row>
    <row r="36" spans="1:9" ht="12.75">
      <c r="A36" s="720" t="s">
        <v>67</v>
      </c>
      <c r="B36" s="224" t="s">
        <v>112</v>
      </c>
      <c r="C36" s="214">
        <f>'31 dec 2019'!J19</f>
        <v>459.42</v>
      </c>
      <c r="D36" s="252">
        <v>1.94</v>
      </c>
      <c r="E36" s="39"/>
      <c r="F36" s="39" t="s">
        <v>211</v>
      </c>
      <c r="G36" s="39" t="s">
        <v>112</v>
      </c>
      <c r="H36" s="214">
        <f>'31 dec 2019'!I19</f>
        <v>-119.38000000000001</v>
      </c>
      <c r="I36" s="719">
        <v>-120.32</v>
      </c>
    </row>
    <row r="37" spans="1:9" ht="12.75">
      <c r="A37" s="721" t="s">
        <v>83</v>
      </c>
      <c r="B37" s="150" t="s">
        <v>115</v>
      </c>
      <c r="C37" s="214">
        <f>'31 dec 2019'!J22</f>
        <v>21510.65</v>
      </c>
      <c r="D37" s="252">
        <v>1.68</v>
      </c>
      <c r="E37" s="39"/>
      <c r="F37" s="39" t="s">
        <v>83</v>
      </c>
      <c r="G37" s="150" t="s">
        <v>115</v>
      </c>
      <c r="H37" s="214">
        <f>'31 dec 2019'!I22</f>
        <v>-2711.1600000000003</v>
      </c>
      <c r="I37" s="719">
        <v>-2475.85</v>
      </c>
    </row>
    <row r="38" spans="1:9" ht="12.75">
      <c r="A38" s="720" t="s">
        <v>88</v>
      </c>
      <c r="B38" s="150" t="s">
        <v>116</v>
      </c>
      <c r="C38" s="214">
        <f>'31 dec 2019'!J23</f>
        <v>2250</v>
      </c>
      <c r="D38" s="235">
        <v>3000</v>
      </c>
      <c r="E38" s="39"/>
      <c r="F38" s="322" t="s">
        <v>153</v>
      </c>
      <c r="G38" s="220" t="s">
        <v>116</v>
      </c>
      <c r="H38" s="214">
        <f>'31 dec 2019'!I23</f>
        <v>-2500</v>
      </c>
      <c r="I38" s="719">
        <v>-3000</v>
      </c>
    </row>
    <row r="39" spans="1:9" ht="12.75">
      <c r="A39" s="722" t="s">
        <v>89</v>
      </c>
      <c r="B39" s="220" t="s">
        <v>119</v>
      </c>
      <c r="C39" s="214">
        <f>'31 dec 2019'!J26</f>
        <v>5000</v>
      </c>
      <c r="D39" s="508">
        <v>7950.77</v>
      </c>
      <c r="E39" s="39"/>
      <c r="F39" s="24" t="s">
        <v>122</v>
      </c>
      <c r="G39" s="24" t="s">
        <v>119</v>
      </c>
      <c r="H39" s="214">
        <f>'31 dec 2019'!I26</f>
        <v>-1369.42</v>
      </c>
      <c r="I39" s="719">
        <v>-12957.68</v>
      </c>
    </row>
    <row r="40" spans="1:9" ht="12.75">
      <c r="A40" s="722" t="s">
        <v>226</v>
      </c>
      <c r="B40" s="220" t="s">
        <v>141</v>
      </c>
      <c r="C40" s="214">
        <f>'31 dec 2019'!J27</f>
        <v>1100</v>
      </c>
      <c r="D40" s="508">
        <v>0</v>
      </c>
      <c r="E40" s="331"/>
      <c r="F40" s="24" t="str">
        <f>'31 dec 2019'!E28</f>
        <v>Izettle</v>
      </c>
      <c r="G40" s="39" t="s">
        <v>520</v>
      </c>
      <c r="H40" s="214">
        <f>'31 dec 2019'!I28</f>
        <v>-279.06</v>
      </c>
      <c r="I40" s="723"/>
    </row>
    <row r="41" spans="1:9" ht="12.75">
      <c r="A41" s="722" t="s">
        <v>518</v>
      </c>
      <c r="B41" s="220" t="s">
        <v>519</v>
      </c>
      <c r="C41" s="508">
        <f>'31 dec 2019'!J28</f>
        <v>279.06</v>
      </c>
      <c r="D41" s="214"/>
      <c r="E41" s="331"/>
      <c r="F41" s="24"/>
      <c r="G41" s="24"/>
      <c r="H41" s="24"/>
      <c r="I41" s="717"/>
    </row>
    <row r="42" spans="1:9" ht="12.75">
      <c r="A42" s="724"/>
      <c r="B42" s="224"/>
      <c r="C42" s="224"/>
      <c r="D42" s="224"/>
      <c r="E42" s="331"/>
      <c r="F42" s="24"/>
      <c r="G42" s="24"/>
      <c r="H42" s="24"/>
      <c r="I42" s="717"/>
    </row>
    <row r="43" spans="1:9" ht="12.75">
      <c r="A43" s="724"/>
      <c r="B43" s="224"/>
      <c r="C43" s="224"/>
      <c r="D43" s="224"/>
      <c r="E43" s="331"/>
      <c r="F43" s="24"/>
      <c r="G43" s="24"/>
      <c r="H43" s="214"/>
      <c r="I43" s="719"/>
    </row>
    <row r="44" spans="1:9" ht="12.75">
      <c r="A44" s="725"/>
      <c r="B44" s="726"/>
      <c r="C44" s="726"/>
      <c r="D44" s="726"/>
      <c r="E44" s="338"/>
      <c r="F44" s="335"/>
      <c r="G44" s="335"/>
      <c r="H44" s="335"/>
      <c r="I44" s="727"/>
    </row>
    <row r="45" spans="1:9" s="4" customFormat="1" ht="21" customHeight="1">
      <c r="A45" s="732" t="s">
        <v>219</v>
      </c>
      <c r="B45" s="733"/>
      <c r="C45" s="734">
        <f>SUM(C35:C42)</f>
        <v>30599.15</v>
      </c>
      <c r="D45" s="734">
        <f>SUM(D35:D42)</f>
        <v>10954.470000000001</v>
      </c>
      <c r="E45" s="735"/>
      <c r="F45" s="733" t="s">
        <v>218</v>
      </c>
      <c r="G45" s="733"/>
      <c r="H45" s="736">
        <f>SUM(H34:H43)</f>
        <v>-6979.020000000001</v>
      </c>
      <c r="I45" s="737">
        <f>SUM(I34:I43)</f>
        <v>-19384.62</v>
      </c>
    </row>
    <row r="46" spans="1:9" ht="15">
      <c r="A46" s="716"/>
      <c r="B46" s="24"/>
      <c r="C46" s="24"/>
      <c r="D46" s="24"/>
      <c r="E46" s="331"/>
      <c r="F46" s="391" t="s">
        <v>521</v>
      </c>
      <c r="G46" s="391"/>
      <c r="H46" s="392">
        <f>C45+H45</f>
        <v>23620.13</v>
      </c>
      <c r="I46" s="723"/>
    </row>
    <row r="47" spans="1:9" ht="13.5">
      <c r="A47" s="720"/>
      <c r="B47" s="24"/>
      <c r="C47" s="24"/>
      <c r="D47" s="24"/>
      <c r="E47" s="331"/>
      <c r="F47" s="712" t="s">
        <v>411</v>
      </c>
      <c r="G47" s="712"/>
      <c r="H47" s="713"/>
      <c r="I47" s="728">
        <f>D45+I45</f>
        <v>-8430.149999999998</v>
      </c>
    </row>
    <row r="48" spans="1:9" ht="12.75">
      <c r="A48" s="729"/>
      <c r="B48" s="730"/>
      <c r="C48" s="730"/>
      <c r="D48" s="336"/>
      <c r="E48" s="338"/>
      <c r="F48" s="730"/>
      <c r="G48" s="730"/>
      <c r="H48" s="730"/>
      <c r="I48" s="731"/>
    </row>
    <row r="49" spans="1:9" ht="13.5">
      <c r="A49" s="49"/>
      <c r="B49" s="20"/>
      <c r="C49" s="20"/>
      <c r="D49" s="20"/>
      <c r="E49" s="365"/>
      <c r="F49" s="24"/>
      <c r="G49" s="24"/>
      <c r="H49" s="24"/>
      <c r="I49" s="58"/>
    </row>
    <row r="50" spans="1:9" ht="15">
      <c r="A50" s="906" t="s">
        <v>200</v>
      </c>
      <c r="B50" s="907"/>
      <c r="C50" s="907"/>
      <c r="D50" s="907"/>
      <c r="E50" s="907"/>
      <c r="F50" s="907"/>
      <c r="G50" s="907"/>
      <c r="H50" s="907"/>
      <c r="I50" s="908"/>
    </row>
    <row r="51" spans="1:9" ht="13.5">
      <c r="A51" s="380"/>
      <c r="B51" s="381"/>
      <c r="C51" s="381"/>
      <c r="D51" s="381"/>
      <c r="E51" s="365"/>
      <c r="F51" s="24"/>
      <c r="G51" s="24"/>
      <c r="H51" s="24"/>
      <c r="I51" s="58"/>
    </row>
    <row r="52" spans="1:9" ht="12.75">
      <c r="A52" s="909" t="s">
        <v>201</v>
      </c>
      <c r="B52" s="910"/>
      <c r="C52" s="910"/>
      <c r="D52" s="910"/>
      <c r="E52" s="910"/>
      <c r="F52" s="910"/>
      <c r="G52" s="910"/>
      <c r="H52" s="910"/>
      <c r="I52" s="911"/>
    </row>
    <row r="53" spans="1:9" ht="14.25" thickBot="1">
      <c r="A53" s="382"/>
      <c r="B53" s="383"/>
      <c r="C53" s="383"/>
      <c r="D53" s="383"/>
      <c r="E53" s="385"/>
      <c r="F53" s="351"/>
      <c r="G53" s="351"/>
      <c r="H53" s="351"/>
      <c r="I53" s="386"/>
    </row>
  </sheetData>
  <sheetProtection/>
  <mergeCells count="5">
    <mergeCell ref="A4:I4"/>
    <mergeCell ref="A27:I27"/>
    <mergeCell ref="A31:I31"/>
    <mergeCell ref="A50:I50"/>
    <mergeCell ref="A52:I52"/>
  </mergeCells>
  <printOptions/>
  <pageMargins left="0.7" right="0.7" top="0.75" bottom="0.75" header="0.3" footer="0.3"/>
  <pageSetup fitToHeight="1" fitToWidth="1" horizontalDpi="360" verticalDpi="360" orientation="landscape" paperSize="9" scale="7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R46"/>
  <sheetViews>
    <sheetView zoomScalePageLayoutView="0" workbookViewId="0" topLeftCell="H10">
      <selection activeCell="L21" sqref="L21"/>
    </sheetView>
  </sheetViews>
  <sheetFormatPr defaultColWidth="9.140625" defaultRowHeight="12.75"/>
  <cols>
    <col min="1" max="1" width="13.7109375" style="0" customWidth="1"/>
    <col min="2" max="2" width="43.421875" style="0" customWidth="1"/>
    <col min="3" max="3" width="14.7109375" style="0" customWidth="1"/>
    <col min="4" max="4" width="1.7109375" style="0" customWidth="1"/>
    <col min="5" max="5" width="35.00390625" style="0" customWidth="1"/>
    <col min="6" max="6" width="4.140625" style="0" customWidth="1"/>
    <col min="7" max="7" width="14.7109375" style="0" customWidth="1"/>
    <col min="8" max="8" width="15.421875" style="0" customWidth="1"/>
    <col min="9" max="9" width="16.7109375" style="0" customWidth="1"/>
    <col min="10" max="10" width="14.57421875" style="0" customWidth="1"/>
    <col min="11" max="11" width="18.28125" style="0" customWidth="1"/>
    <col min="12" max="12" width="26.8515625" style="0" customWidth="1"/>
    <col min="13" max="13" width="28.00390625" style="0" customWidth="1"/>
    <col min="14" max="14" width="13.421875" style="0" customWidth="1"/>
    <col min="16" max="16" width="14.8515625" style="0" customWidth="1"/>
  </cols>
  <sheetData>
    <row r="4" ht="30">
      <c r="B4" s="254" t="s">
        <v>142</v>
      </c>
    </row>
    <row r="7" spans="2:3" ht="21">
      <c r="B7" s="171" t="s">
        <v>158</v>
      </c>
      <c r="C7" s="287">
        <v>43830</v>
      </c>
    </row>
    <row r="8" ht="12.75">
      <c r="E8" s="132"/>
    </row>
    <row r="9" ht="12.75">
      <c r="K9" s="132"/>
    </row>
    <row r="10" spans="1:12" ht="12.75">
      <c r="A10" s="132"/>
      <c r="B10">
        <v>9.95</v>
      </c>
      <c r="I10" s="132"/>
      <c r="K10" s="132" t="s">
        <v>267</v>
      </c>
      <c r="L10" s="132"/>
    </row>
    <row r="11" spans="2:3" ht="13.5" thickBot="1">
      <c r="B11" s="414"/>
      <c r="C11" s="415"/>
    </row>
    <row r="12" spans="1:13" ht="12.75">
      <c r="A12" s="132"/>
      <c r="B12" s="210"/>
      <c r="C12" s="211"/>
      <c r="D12" s="37"/>
      <c r="E12" s="210"/>
      <c r="F12" s="37"/>
      <c r="G12" s="37" t="s">
        <v>159</v>
      </c>
      <c r="H12" s="211" t="s">
        <v>159</v>
      </c>
      <c r="I12" s="37" t="s">
        <v>161</v>
      </c>
      <c r="J12" s="211" t="s">
        <v>161</v>
      </c>
      <c r="K12" s="269">
        <v>-5175.31</v>
      </c>
      <c r="L12" s="37"/>
      <c r="M12" s="211"/>
    </row>
    <row r="13" spans="1:18" ht="12.75">
      <c r="A13" s="132">
        <f>A17-C17</f>
        <v>9.094947017729282E-12</v>
      </c>
      <c r="B13" s="26"/>
      <c r="C13" s="58"/>
      <c r="D13" s="24"/>
      <c r="E13" s="26"/>
      <c r="F13" s="24"/>
      <c r="G13" s="460">
        <f>C7</f>
        <v>43830</v>
      </c>
      <c r="H13" s="461">
        <f>C7</f>
        <v>43830</v>
      </c>
      <c r="I13" s="460">
        <f>C7</f>
        <v>43830</v>
      </c>
      <c r="J13" s="285">
        <f>C7</f>
        <v>43830</v>
      </c>
      <c r="K13" s="270">
        <v>43465</v>
      </c>
      <c r="L13" s="24"/>
      <c r="M13" s="212"/>
      <c r="N13" s="150"/>
      <c r="O13" s="150"/>
      <c r="P13" s="150"/>
      <c r="Q13" s="150"/>
      <c r="R13" s="150"/>
    </row>
    <row r="14" spans="1:18" ht="13.5" thickBot="1">
      <c r="A14" s="121"/>
      <c r="B14" s="219" t="s">
        <v>162</v>
      </c>
      <c r="C14" s="58"/>
      <c r="D14" s="24"/>
      <c r="E14" s="219" t="s">
        <v>99</v>
      </c>
      <c r="F14" s="39"/>
      <c r="G14" s="224" t="s">
        <v>102</v>
      </c>
      <c r="H14" s="462" t="s">
        <v>160</v>
      </c>
      <c r="I14" s="224" t="s">
        <v>101</v>
      </c>
      <c r="J14" s="212" t="s">
        <v>100</v>
      </c>
      <c r="K14" s="271" t="s">
        <v>84</v>
      </c>
      <c r="L14" s="39" t="s">
        <v>105</v>
      </c>
      <c r="M14" s="58"/>
      <c r="N14" s="630"/>
      <c r="O14" s="630"/>
      <c r="P14" s="630"/>
      <c r="Q14" s="630"/>
      <c r="R14" s="150"/>
    </row>
    <row r="15" spans="1:18" ht="12.75">
      <c r="A15" s="595" t="s">
        <v>383</v>
      </c>
      <c r="B15" s="286">
        <f>C7</f>
        <v>43830</v>
      </c>
      <c r="C15" s="58"/>
      <c r="D15" s="24"/>
      <c r="E15" s="682">
        <f>C7</f>
        <v>43830</v>
      </c>
      <c r="F15" s="150"/>
      <c r="G15" s="150"/>
      <c r="H15" s="463"/>
      <c r="I15" s="150"/>
      <c r="J15" s="463"/>
      <c r="K15" s="651"/>
      <c r="L15" s="224"/>
      <c r="M15" s="463"/>
      <c r="N15" s="253"/>
      <c r="O15" s="253"/>
      <c r="P15" s="253"/>
      <c r="Q15" s="253"/>
      <c r="R15" s="150"/>
    </row>
    <row r="16" spans="1:18" ht="12.75">
      <c r="A16" s="592">
        <f>'project 2019'!F15</f>
        <v>0.02</v>
      </c>
      <c r="B16" s="26" t="s">
        <v>264</v>
      </c>
      <c r="C16" s="704">
        <v>0.02</v>
      </c>
      <c r="D16" s="24"/>
      <c r="E16" s="683" t="str">
        <f>'jaarekening 2016 begr 2017'!Q7</f>
        <v>*Tuinwerkgroep</v>
      </c>
      <c r="F16" s="401">
        <f>'jaarekening 2016 begr 2017'!R7</f>
        <v>1</v>
      </c>
      <c r="G16" s="235">
        <v>0</v>
      </c>
      <c r="H16" s="265">
        <f aca="true" t="shared" si="0" ref="H16:H27">J16+K16+I16</f>
        <v>0.02</v>
      </c>
      <c r="I16" s="235">
        <f>'project 2019'!F10</f>
        <v>0</v>
      </c>
      <c r="J16" s="265">
        <f>'project 2019'!F14</f>
        <v>0.02</v>
      </c>
      <c r="K16" s="459">
        <f>'project 2019'!F7</f>
        <v>0</v>
      </c>
      <c r="L16" s="252" t="s">
        <v>449</v>
      </c>
      <c r="M16" s="265"/>
      <c r="N16" s="253"/>
      <c r="O16" s="401"/>
      <c r="P16" s="252"/>
      <c r="Q16" s="252"/>
      <c r="R16" s="150"/>
    </row>
    <row r="17" spans="1:18" ht="12.75">
      <c r="A17" s="593">
        <f>'project 2019'!F66+'project 2019'!F83+'project 2019'!F156+'project 2019'!F171+'project 2019'!F205+'project 2019'!F223+'project 2019'!F239+'project 2019'!F245</f>
        <v>4415.410000000009</v>
      </c>
      <c r="B17" s="26" t="s">
        <v>266</v>
      </c>
      <c r="C17" s="704">
        <v>4415.41</v>
      </c>
      <c r="D17" s="24"/>
      <c r="E17" s="674" t="str">
        <f>'jaarekening 2016 begr 2017'!Q8</f>
        <v>*Te besteden voor tuin </v>
      </c>
      <c r="F17" s="675">
        <f>'jaarekening 2016 begr 2017'!R8</f>
        <v>2</v>
      </c>
      <c r="G17" s="663"/>
      <c r="H17" s="676">
        <f t="shared" si="0"/>
        <v>0</v>
      </c>
      <c r="I17" s="663">
        <v>0</v>
      </c>
      <c r="J17" s="676">
        <v>0</v>
      </c>
      <c r="K17" s="677">
        <f>'project 2018 def'!F44</f>
        <v>0</v>
      </c>
      <c r="L17" s="678" t="s">
        <v>451</v>
      </c>
      <c r="M17" s="676"/>
      <c r="N17" s="253"/>
      <c r="O17" s="401"/>
      <c r="P17" s="252"/>
      <c r="Q17" s="252"/>
      <c r="R17" s="150"/>
    </row>
    <row r="18" spans="1:18" ht="15">
      <c r="A18" s="593"/>
      <c r="B18" s="697"/>
      <c r="C18" s="58"/>
      <c r="D18" s="24"/>
      <c r="E18" s="674" t="str">
        <f>'jaarekening 2016 begr 2017'!Q9</f>
        <v>*Te besteden voor algemene publieksact.</v>
      </c>
      <c r="F18" s="675">
        <f>'jaarekening 2016 begr 2017'!R9</f>
        <v>3</v>
      </c>
      <c r="G18" s="663">
        <f>K18+J18+I18-H18</f>
        <v>0</v>
      </c>
      <c r="H18" s="676">
        <f t="shared" si="0"/>
        <v>2.2282176104226892E-13</v>
      </c>
      <c r="I18" s="663">
        <v>0</v>
      </c>
      <c r="J18" s="663">
        <v>0</v>
      </c>
      <c r="K18" s="677">
        <f>'project 2018 def'!F56</f>
        <v>2.2282176104226892E-13</v>
      </c>
      <c r="L18" s="678" t="s">
        <v>451</v>
      </c>
      <c r="M18" s="679"/>
      <c r="N18" s="253"/>
      <c r="O18" s="401"/>
      <c r="P18" s="252"/>
      <c r="Q18" s="252"/>
      <c r="R18" s="150"/>
    </row>
    <row r="19" spans="1:18" ht="15">
      <c r="A19" s="592"/>
      <c r="B19" s="697"/>
      <c r="C19" s="216"/>
      <c r="D19" s="24"/>
      <c r="E19" s="588" t="str">
        <f>'jaarekening 2016 begr 2017'!Q10</f>
        <v>*Reservering diversen</v>
      </c>
      <c r="F19" s="401">
        <f>'jaarekening 2016 begr 2017'!R10</f>
        <v>4</v>
      </c>
      <c r="G19" s="214"/>
      <c r="H19" s="464">
        <f t="shared" si="0"/>
        <v>354.98</v>
      </c>
      <c r="I19" s="584">
        <f>'project 2019'!F60</f>
        <v>-119.38000000000001</v>
      </c>
      <c r="J19" s="265">
        <f>'project 2019'!F65</f>
        <v>459.42</v>
      </c>
      <c r="K19" s="273">
        <f>'project 2019'!F45</f>
        <v>14.939999999999985</v>
      </c>
      <c r="L19" s="215" t="s">
        <v>312</v>
      </c>
      <c r="M19" s="58"/>
      <c r="N19" s="253"/>
      <c r="O19" s="401"/>
      <c r="P19" s="252"/>
      <c r="Q19" s="252"/>
      <c r="R19" s="150"/>
    </row>
    <row r="20" spans="1:18" ht="12.75">
      <c r="A20" s="592"/>
      <c r="B20" s="412"/>
      <c r="C20" s="58"/>
      <c r="D20" s="24"/>
      <c r="E20" s="674" t="str">
        <f>'jaarekening 2016 begr 2017'!Q11</f>
        <v>*Te besteden voor tentoonstelling</v>
      </c>
      <c r="F20" s="675">
        <f>'jaarekening 2016 begr 2017'!R11</f>
        <v>5</v>
      </c>
      <c r="G20" s="663"/>
      <c r="H20" s="676">
        <f t="shared" si="0"/>
        <v>0</v>
      </c>
      <c r="I20" s="663">
        <v>0</v>
      </c>
      <c r="J20" s="663">
        <v>0</v>
      </c>
      <c r="K20" s="677">
        <f>'project 2018 def'!F135</f>
        <v>0</v>
      </c>
      <c r="L20" s="678" t="s">
        <v>452</v>
      </c>
      <c r="M20" s="679"/>
      <c r="N20" s="253"/>
      <c r="O20" s="401"/>
      <c r="P20" s="252"/>
      <c r="Q20" s="252"/>
      <c r="R20" s="150"/>
    </row>
    <row r="21" spans="1:18" ht="12.75">
      <c r="A21" s="592"/>
      <c r="B21" s="456"/>
      <c r="C21" s="265"/>
      <c r="D21" s="24"/>
      <c r="E21" s="588" t="str">
        <f>'jaarekening 2016 begr 2017'!Q12</f>
        <v>*Te besteden herinrichting ruimte</v>
      </c>
      <c r="F21" s="401">
        <f>'jaarekening 2016 begr 2017'!R12</f>
        <v>6</v>
      </c>
      <c r="G21" s="214"/>
      <c r="H21" s="464">
        <f t="shared" si="0"/>
        <v>31.44</v>
      </c>
      <c r="I21" s="235">
        <f>'project 2019'!F79</f>
        <v>0</v>
      </c>
      <c r="J21" s="265">
        <f>'project 2019'!F82</f>
        <v>0</v>
      </c>
      <c r="K21" s="273">
        <f>'project 2019'!F77</f>
        <v>31.44</v>
      </c>
      <c r="L21" s="215" t="s">
        <v>313</v>
      </c>
      <c r="M21" s="216"/>
      <c r="N21" s="253"/>
      <c r="O21" s="401"/>
      <c r="P21" s="252"/>
      <c r="Q21" s="252"/>
      <c r="R21" s="150"/>
    </row>
    <row r="22" spans="1:18" ht="13.5" thickBot="1">
      <c r="A22" s="594">
        <f>'project 2019'!F131</f>
        <v>23863.16</v>
      </c>
      <c r="B22" s="688" t="s">
        <v>265</v>
      </c>
      <c r="C22" s="704">
        <v>23863.16</v>
      </c>
      <c r="D22" s="24"/>
      <c r="E22" s="588" t="str">
        <f>'jaarekening 2016 begr 2017'!Q13</f>
        <v>*Te besteden 50 dingen boekje</v>
      </c>
      <c r="F22" s="401">
        <f>'jaarekening 2016 begr 2017'!R13</f>
        <v>7</v>
      </c>
      <c r="G22" s="214"/>
      <c r="H22" s="609">
        <f t="shared" si="0"/>
        <v>23863.16</v>
      </c>
      <c r="I22" s="214">
        <f>'project 2019'!F115</f>
        <v>-2711.1600000000003</v>
      </c>
      <c r="J22" s="457">
        <f>'project 2019'!F130</f>
        <v>21510.65</v>
      </c>
      <c r="K22" s="273">
        <f>'project 2019'!F106</f>
        <v>5063.67</v>
      </c>
      <c r="L22" s="215" t="s">
        <v>314</v>
      </c>
      <c r="M22" s="58"/>
      <c r="N22" s="253"/>
      <c r="O22" s="401"/>
      <c r="P22" s="252"/>
      <c r="Q22" s="252"/>
      <c r="R22" s="150"/>
    </row>
    <row r="23" spans="1:18" ht="15.75" thickBot="1">
      <c r="A23" s="594">
        <f>SUM(A16:A22)</f>
        <v>28278.59000000001</v>
      </c>
      <c r="B23" s="697">
        <f>A22-C22</f>
        <v>0</v>
      </c>
      <c r="C23" s="265"/>
      <c r="D23" s="24"/>
      <c r="E23" s="588" t="str">
        <f>'jaarekening 2016 begr 2017'!Q14</f>
        <v>*Basisonderwijs/st. Ronde Venen fonds</v>
      </c>
      <c r="F23" s="401">
        <f>'jaarekening 2016 begr 2017'!R14</f>
        <v>8</v>
      </c>
      <c r="G23" s="214"/>
      <c r="H23" s="464">
        <f t="shared" si="0"/>
        <v>1250</v>
      </c>
      <c r="I23" s="214">
        <f>'project 2019'!F148</f>
        <v>-2500</v>
      </c>
      <c r="J23" s="265">
        <f>'project 2019'!F155</f>
        <v>2250</v>
      </c>
      <c r="K23" s="273">
        <f>'project 2019'!F143</f>
        <v>1500</v>
      </c>
      <c r="L23" s="215" t="s">
        <v>438</v>
      </c>
      <c r="M23" s="58"/>
      <c r="N23" s="253"/>
      <c r="O23" s="401"/>
      <c r="P23" s="252"/>
      <c r="Q23" s="252"/>
      <c r="R23" s="150"/>
    </row>
    <row r="24" spans="1:18" ht="15">
      <c r="A24" s="587"/>
      <c r="B24" s="684"/>
      <c r="C24" s="216"/>
      <c r="D24" s="24"/>
      <c r="E24" s="588" t="str">
        <f>'jaarekening 2016 begr 2017'!Q15</f>
        <v>*Stichting Doen/Oranjefonds</v>
      </c>
      <c r="F24" s="401">
        <f>'jaarekening 2016 begr 2017'!R15</f>
        <v>9</v>
      </c>
      <c r="G24" s="214"/>
      <c r="H24" s="464">
        <f t="shared" si="0"/>
        <v>48.66</v>
      </c>
      <c r="I24" s="215">
        <f>'project 2019'!F167</f>
        <v>0</v>
      </c>
      <c r="J24" s="265">
        <f>'project 2019'!F170</f>
        <v>0</v>
      </c>
      <c r="K24" s="273">
        <f>'project 2019'!F164</f>
        <v>48.66</v>
      </c>
      <c r="L24" s="215" t="s">
        <v>315</v>
      </c>
      <c r="M24" s="58"/>
      <c r="N24" s="253"/>
      <c r="O24" s="401"/>
      <c r="P24" s="252"/>
      <c r="Q24" s="252"/>
      <c r="R24" s="150"/>
    </row>
    <row r="25" spans="1:18" ht="12.75">
      <c r="A25" s="586"/>
      <c r="B25" s="412"/>
      <c r="C25" s="216"/>
      <c r="D25" s="24"/>
      <c r="E25" s="674" t="str">
        <f>'jaarekening 2016 begr 2017'!Q16</f>
        <v>*Rotary Vinkeveen</v>
      </c>
      <c r="F25" s="675">
        <f>'jaarekening 2016 begr 2017'!R16</f>
        <v>10</v>
      </c>
      <c r="G25" s="663"/>
      <c r="H25" s="676">
        <f t="shared" si="0"/>
        <v>0</v>
      </c>
      <c r="I25" s="663"/>
      <c r="J25" s="676"/>
      <c r="K25" s="677">
        <f>'project 2018 def'!F262</f>
        <v>0</v>
      </c>
      <c r="L25" s="678" t="s">
        <v>451</v>
      </c>
      <c r="M25" s="679"/>
      <c r="N25" s="253"/>
      <c r="O25" s="401"/>
      <c r="P25" s="252"/>
      <c r="Q25" s="252"/>
      <c r="R25" s="150"/>
    </row>
    <row r="26" spans="1:18" ht="15">
      <c r="A26" s="587">
        <f>A22-C22</f>
        <v>0</v>
      </c>
      <c r="B26" s="412"/>
      <c r="C26" s="216"/>
      <c r="D26" s="24"/>
      <c r="E26" s="588" t="str">
        <f>'jaarekening 2016 begr 2017'!Q17</f>
        <v>*25 jarig bestaan</v>
      </c>
      <c r="F26" s="401">
        <f>'jaarekening 2016 begr 2017'!R17</f>
        <v>11</v>
      </c>
      <c r="G26" s="214"/>
      <c r="H26" s="608">
        <f t="shared" si="0"/>
        <v>0</v>
      </c>
      <c r="I26" s="235">
        <f>'project 2019'!F199</f>
        <v>-1369.42</v>
      </c>
      <c r="J26" s="578">
        <f>'project 2019'!F204</f>
        <v>5000</v>
      </c>
      <c r="K26" s="273">
        <f>'project 2019'!F194</f>
        <v>-3630.58</v>
      </c>
      <c r="L26" s="215" t="s">
        <v>316</v>
      </c>
      <c r="M26" s="58"/>
      <c r="N26" s="253"/>
      <c r="O26" s="401"/>
      <c r="P26" s="587"/>
      <c r="Q26" s="252"/>
      <c r="R26" s="150"/>
    </row>
    <row r="27" spans="1:18" ht="12.75">
      <c r="A27" s="586"/>
      <c r="B27" s="412"/>
      <c r="C27" s="216"/>
      <c r="D27" s="24"/>
      <c r="E27" s="588" t="str">
        <f>'jaarekening 2016 begr 2017'!Q18</f>
        <v>*Ontwikkeling NME (1)</v>
      </c>
      <c r="F27" s="401">
        <v>12</v>
      </c>
      <c r="G27" s="235"/>
      <c r="H27" s="464">
        <f t="shared" si="0"/>
        <v>2026</v>
      </c>
      <c r="I27" s="235">
        <f>'project 2019'!F217</f>
        <v>0</v>
      </c>
      <c r="J27" s="267">
        <f>'project 2019'!F222</f>
        <v>1100</v>
      </c>
      <c r="K27" s="273">
        <f>'project 2019'!F214</f>
        <v>926</v>
      </c>
      <c r="L27" s="215" t="s">
        <v>317</v>
      </c>
      <c r="M27" s="58"/>
      <c r="N27" s="253"/>
      <c r="O27" s="401"/>
      <c r="P27" s="252"/>
      <c r="Q27" s="252"/>
      <c r="R27" s="150"/>
    </row>
    <row r="28" spans="1:18" ht="13.5" thickBot="1">
      <c r="A28" s="587"/>
      <c r="B28" s="26"/>
      <c r="C28" s="216"/>
      <c r="D28" s="24"/>
      <c r="E28" s="589" t="s">
        <v>347</v>
      </c>
      <c r="F28" s="220">
        <v>13</v>
      </c>
      <c r="G28" s="235"/>
      <c r="H28" s="464">
        <f>SUM(I28:K28)</f>
        <v>0</v>
      </c>
      <c r="I28" s="214">
        <f>'project 2019'!F238</f>
        <v>-279.06</v>
      </c>
      <c r="J28" s="267">
        <f>'project 2019'!F234</f>
        <v>279.06</v>
      </c>
      <c r="K28" s="700">
        <v>0</v>
      </c>
      <c r="L28" s="214" t="s">
        <v>450</v>
      </c>
      <c r="M28" s="216"/>
      <c r="N28" s="253"/>
      <c r="O28" s="253"/>
      <c r="P28" s="252"/>
      <c r="Q28" s="252"/>
      <c r="R28" s="150"/>
    </row>
    <row r="29" spans="1:18" ht="13.5" thickBot="1">
      <c r="A29" s="685">
        <f>A23-C30</f>
        <v>0</v>
      </c>
      <c r="B29" s="585"/>
      <c r="C29" s="218"/>
      <c r="D29" s="24"/>
      <c r="E29" s="590" t="s">
        <v>163</v>
      </c>
      <c r="F29" s="99" t="s">
        <v>243</v>
      </c>
      <c r="G29" s="591">
        <f>H32-H30</f>
        <v>704.330000000009</v>
      </c>
      <c r="H29" s="218"/>
      <c r="I29" s="214"/>
      <c r="J29" s="216"/>
      <c r="K29" s="591">
        <f>'project 2019'!F243</f>
        <v>704.3300000000072</v>
      </c>
      <c r="L29" s="215" t="s">
        <v>318</v>
      </c>
      <c r="M29" s="58"/>
      <c r="N29" s="224"/>
      <c r="O29" s="224"/>
      <c r="P29" s="252"/>
      <c r="Q29" s="252"/>
      <c r="R29" s="150"/>
    </row>
    <row r="30" spans="2:18" ht="15.75" thickBot="1">
      <c r="B30" s="206" t="s">
        <v>319</v>
      </c>
      <c r="C30" s="458">
        <f>SUM(C15:C29)</f>
        <v>28278.59</v>
      </c>
      <c r="D30" s="208"/>
      <c r="E30" s="206" t="s">
        <v>79</v>
      </c>
      <c r="F30" s="208"/>
      <c r="G30" s="207">
        <f>G29</f>
        <v>704.330000000009</v>
      </c>
      <c r="H30" s="209">
        <f>SUM(H15:H29)</f>
        <v>27574.26</v>
      </c>
      <c r="I30" s="582">
        <f>SUM(I16:I29)</f>
        <v>-6979.020000000001</v>
      </c>
      <c r="J30" s="209">
        <f>SUM(J16:J29)</f>
        <v>30599.15</v>
      </c>
      <c r="K30" s="275">
        <f>SUM(K15:K29)</f>
        <v>4658.460000000007</v>
      </c>
      <c r="L30" s="217"/>
      <c r="M30" s="218"/>
      <c r="N30" s="235"/>
      <c r="O30" s="150"/>
      <c r="P30" s="150"/>
      <c r="Q30" s="150"/>
      <c r="R30" s="150"/>
    </row>
    <row r="31" spans="1:13" ht="13.5" thickBot="1">
      <c r="A31" s="132"/>
      <c r="B31" s="546"/>
      <c r="C31" s="547"/>
      <c r="G31" s="236"/>
      <c r="H31" s="132"/>
      <c r="I31" s="581"/>
      <c r="J31" s="581"/>
      <c r="K31" s="132"/>
      <c r="L31" s="132"/>
      <c r="M31" s="132"/>
    </row>
    <row r="32" spans="2:14" ht="17.25">
      <c r="B32" s="482" t="s">
        <v>285</v>
      </c>
      <c r="C32" s="483">
        <f>H30</f>
        <v>27574.26</v>
      </c>
      <c r="D32" s="121"/>
      <c r="E32" s="133"/>
      <c r="F32" s="256"/>
      <c r="G32" s="690" t="s">
        <v>453</v>
      </c>
      <c r="H32" s="690">
        <f>I30+J30+K30</f>
        <v>28278.590000000007</v>
      </c>
      <c r="I32" s="685"/>
      <c r="J32" s="133"/>
      <c r="K32" s="695"/>
      <c r="L32" s="583"/>
      <c r="M32" s="121"/>
      <c r="N32" s="132"/>
    </row>
    <row r="33" spans="1:13" ht="12.75">
      <c r="A33" s="132">
        <f>A17-C17</f>
        <v>9.094947017729282E-12</v>
      </c>
      <c r="B33" s="484"/>
      <c r="C33" s="457"/>
      <c r="D33" s="121"/>
      <c r="E33" s="133"/>
      <c r="F33" s="121"/>
      <c r="G33" s="282"/>
      <c r="H33" s="282"/>
      <c r="I33" s="133"/>
      <c r="J33" s="133"/>
      <c r="K33" s="480"/>
      <c r="L33" s="133"/>
      <c r="M33" s="121" t="s">
        <v>443</v>
      </c>
    </row>
    <row r="34" spans="1:15" ht="12.75">
      <c r="A34" s="132"/>
      <c r="B34" s="485" t="s">
        <v>311</v>
      </c>
      <c r="C34" s="457">
        <f>G29</f>
        <v>704.330000000009</v>
      </c>
      <c r="D34" s="121"/>
      <c r="E34" s="133"/>
      <c r="F34" s="121"/>
      <c r="G34" s="133"/>
      <c r="H34" s="282"/>
      <c r="J34" s="133"/>
      <c r="L34" s="133"/>
      <c r="M34" s="121" t="s">
        <v>444</v>
      </c>
      <c r="N34">
        <v>2500</v>
      </c>
      <c r="O34" t="s">
        <v>445</v>
      </c>
    </row>
    <row r="35" spans="2:15" ht="13.5" thickBot="1">
      <c r="B35" s="188"/>
      <c r="C35" s="457"/>
      <c r="D35" s="121"/>
      <c r="E35" s="133"/>
      <c r="F35" s="121"/>
      <c r="G35" s="133"/>
      <c r="H35" s="256"/>
      <c r="I35" s="133"/>
      <c r="J35" s="133"/>
      <c r="K35" s="235"/>
      <c r="L35" s="121"/>
      <c r="M35" s="121" t="s">
        <v>446</v>
      </c>
      <c r="N35">
        <v>2500</v>
      </c>
      <c r="O35" t="s">
        <v>447</v>
      </c>
    </row>
    <row r="36" spans="1:11" ht="13.5" thickBot="1">
      <c r="A36" s="132"/>
      <c r="B36" s="521" t="s">
        <v>98</v>
      </c>
      <c r="C36" s="522">
        <f>C32+C34</f>
        <v>28278.590000000007</v>
      </c>
      <c r="E36" s="133"/>
      <c r="G36" s="133"/>
      <c r="H36" s="133"/>
      <c r="I36" s="133"/>
      <c r="J36" s="133"/>
      <c r="K36" s="478"/>
    </row>
    <row r="37" spans="2:17" ht="12.75">
      <c r="B37" s="150"/>
      <c r="C37" s="150"/>
      <c r="E37" s="133"/>
      <c r="G37" s="121"/>
      <c r="H37" s="133"/>
      <c r="I37" s="133"/>
      <c r="J37" s="133"/>
      <c r="M37" t="s">
        <v>442</v>
      </c>
      <c r="N37">
        <v>5000</v>
      </c>
      <c r="P37">
        <v>5000</v>
      </c>
      <c r="Q37" t="s">
        <v>448</v>
      </c>
    </row>
    <row r="38" spans="2:10" ht="12.75">
      <c r="B38" s="150"/>
      <c r="C38" s="235"/>
      <c r="E38" s="133"/>
      <c r="I38" s="133"/>
      <c r="J38" s="133"/>
    </row>
    <row r="39" spans="5:11" ht="17.25">
      <c r="E39" s="133"/>
      <c r="G39" s="132"/>
      <c r="H39" s="132"/>
      <c r="I39" s="133"/>
      <c r="J39" s="133"/>
      <c r="K39" s="479"/>
    </row>
    <row r="40" spans="5:10" ht="12.75">
      <c r="E40" s="133"/>
      <c r="I40" s="133"/>
      <c r="J40" s="133"/>
    </row>
    <row r="41" spans="5:11" ht="12.75">
      <c r="E41" s="133"/>
      <c r="I41" s="133"/>
      <c r="K41" s="132"/>
    </row>
    <row r="42" spans="5:9" ht="12.75">
      <c r="E42" s="133"/>
      <c r="I42" s="133"/>
    </row>
    <row r="43" spans="8:9" ht="12.75">
      <c r="H43" s="132"/>
      <c r="I43" s="133"/>
    </row>
    <row r="45" ht="12.75">
      <c r="I45" s="132"/>
    </row>
    <row r="46" ht="12.75">
      <c r="I46" s="132"/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5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46"/>
  <sheetViews>
    <sheetView zoomScalePageLayoutView="0" workbookViewId="0" topLeftCell="A167">
      <selection activeCell="B176" sqref="B176:K206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9" max="9" width="18.57421875" style="0" customWidth="1"/>
    <col min="10" max="10" width="22.421875" style="0" customWidth="1"/>
    <col min="11" max="11" width="16.00390625" style="0" customWidth="1"/>
  </cols>
  <sheetData>
    <row r="1" spans="2:11" ht="21">
      <c r="B1" s="171" t="s">
        <v>419</v>
      </c>
      <c r="G1" s="150"/>
      <c r="H1" s="150" t="s">
        <v>360</v>
      </c>
      <c r="K1" s="150"/>
    </row>
    <row r="2" spans="2:11" ht="17.25">
      <c r="B2" s="287">
        <f>'31 dec 2019'!C7</f>
        <v>43830</v>
      </c>
      <c r="G2" s="150"/>
      <c r="H2" s="150"/>
      <c r="K2" s="150"/>
    </row>
    <row r="3" spans="7:11" ht="12.75">
      <c r="G3" s="150"/>
      <c r="H3" s="150"/>
      <c r="K3" s="150"/>
    </row>
    <row r="4" spans="7:11" ht="13.5" thickBot="1">
      <c r="G4" s="150"/>
      <c r="H4" s="150"/>
      <c r="K4" s="150"/>
    </row>
    <row r="5" spans="2:11" ht="13.5" thickBot="1">
      <c r="B5" s="416" t="s">
        <v>130</v>
      </c>
      <c r="C5" s="417"/>
      <c r="D5" s="418"/>
      <c r="G5" s="150"/>
      <c r="H5" s="150"/>
      <c r="K5" s="150"/>
    </row>
    <row r="6" spans="2:11" ht="15">
      <c r="B6" s="255" t="s">
        <v>1</v>
      </c>
      <c r="C6" s="426"/>
      <c r="D6" s="426"/>
      <c r="E6" s="222" t="s">
        <v>110</v>
      </c>
      <c r="F6" s="174" t="s">
        <v>129</v>
      </c>
      <c r="G6" s="150"/>
      <c r="H6" s="150"/>
      <c r="K6" s="150"/>
    </row>
    <row r="7" spans="2:11" ht="15">
      <c r="B7" s="570">
        <v>43465</v>
      </c>
      <c r="C7" s="571" t="s">
        <v>2</v>
      </c>
      <c r="D7" s="571"/>
      <c r="E7" s="571"/>
      <c r="F7" s="118">
        <v>0</v>
      </c>
      <c r="G7" s="560"/>
      <c r="H7" s="261" t="s">
        <v>393</v>
      </c>
      <c r="I7" s="567"/>
      <c r="J7" s="567"/>
      <c r="K7" s="189"/>
    </row>
    <row r="8" spans="2:11" ht="15">
      <c r="B8" s="427"/>
      <c r="C8" s="471" t="s">
        <v>424</v>
      </c>
      <c r="D8" s="471"/>
      <c r="E8" s="471"/>
      <c r="F8" s="193"/>
      <c r="G8" s="560"/>
      <c r="H8" s="261"/>
      <c r="I8" s="567"/>
      <c r="J8" s="567"/>
      <c r="K8" s="189"/>
    </row>
    <row r="9" spans="2:11" ht="15">
      <c r="B9" s="427"/>
      <c r="C9" s="471"/>
      <c r="D9" s="471"/>
      <c r="E9" s="471"/>
      <c r="F9" s="193"/>
      <c r="G9" s="560"/>
      <c r="H9" s="261"/>
      <c r="I9" s="567"/>
      <c r="J9" s="567"/>
      <c r="K9" s="189"/>
    </row>
    <row r="10" spans="2:11" ht="15">
      <c r="B10" s="427"/>
      <c r="C10" s="471" t="s">
        <v>425</v>
      </c>
      <c r="D10" s="471"/>
      <c r="E10" s="471"/>
      <c r="F10" s="193">
        <f>SUM(F8:F9)</f>
        <v>0</v>
      </c>
      <c r="G10" s="560"/>
      <c r="H10" s="261"/>
      <c r="I10" s="567"/>
      <c r="J10" s="567"/>
      <c r="K10" s="189"/>
    </row>
    <row r="11" spans="2:11" ht="15">
      <c r="B11" s="427"/>
      <c r="C11" s="471" t="s">
        <v>426</v>
      </c>
      <c r="D11" s="471"/>
      <c r="E11" s="471"/>
      <c r="F11" s="193"/>
      <c r="G11" s="560"/>
      <c r="H11" s="261"/>
      <c r="I11" s="567"/>
      <c r="J11" s="567"/>
      <c r="K11" s="189"/>
    </row>
    <row r="12" spans="2:11" ht="15">
      <c r="B12" s="427">
        <v>43466</v>
      </c>
      <c r="C12" s="471" t="s">
        <v>59</v>
      </c>
      <c r="D12" s="471"/>
      <c r="E12" s="471"/>
      <c r="F12" s="193">
        <v>0.02</v>
      </c>
      <c r="G12" s="560"/>
      <c r="H12" s="261" t="s">
        <v>457</v>
      </c>
      <c r="I12" s="567"/>
      <c r="J12" s="567"/>
      <c r="K12" s="189"/>
    </row>
    <row r="13" spans="2:11" ht="15">
      <c r="B13" s="427"/>
      <c r="C13" s="471"/>
      <c r="D13" s="471"/>
      <c r="E13" s="471"/>
      <c r="F13" s="193"/>
      <c r="G13" s="560"/>
      <c r="H13" s="261"/>
      <c r="I13" s="567"/>
      <c r="J13" s="567"/>
      <c r="K13" s="189"/>
    </row>
    <row r="14" spans="2:11" ht="15">
      <c r="B14" s="427"/>
      <c r="C14" s="471" t="s">
        <v>433</v>
      </c>
      <c r="D14" s="471"/>
      <c r="E14" s="471"/>
      <c r="F14" s="193">
        <f>SUM(F12:F13)</f>
        <v>0.02</v>
      </c>
      <c r="G14" s="560"/>
      <c r="H14" s="261" t="s">
        <v>441</v>
      </c>
      <c r="I14" s="567"/>
      <c r="J14" s="567"/>
      <c r="K14" s="189"/>
    </row>
    <row r="15" spans="2:11" ht="15.75" thickBot="1">
      <c r="B15" s="680">
        <f>B2</f>
        <v>43830</v>
      </c>
      <c r="C15" s="681" t="s">
        <v>2</v>
      </c>
      <c r="D15" s="681"/>
      <c r="E15" s="106"/>
      <c r="F15" s="107">
        <f>F7+F10+F14</f>
        <v>0.02</v>
      </c>
      <c r="G15" s="150"/>
      <c r="H15" s="150"/>
      <c r="K15" s="150"/>
    </row>
    <row r="16" spans="2:11" ht="13.5" thickBot="1">
      <c r="B16" s="24"/>
      <c r="C16" s="24"/>
      <c r="D16" s="24"/>
      <c r="E16" s="24"/>
      <c r="F16" s="24"/>
      <c r="G16" s="150"/>
      <c r="H16" s="150"/>
      <c r="K16" s="150"/>
    </row>
    <row r="17" spans="1:11" ht="15">
      <c r="A17" s="121"/>
      <c r="B17" s="429" t="s">
        <v>108</v>
      </c>
      <c r="C17" s="177"/>
      <c r="D17" s="178"/>
      <c r="E17" s="222" t="s">
        <v>109</v>
      </c>
      <c r="F17" s="179"/>
      <c r="G17" s="150"/>
      <c r="H17" s="150"/>
      <c r="K17" s="150"/>
    </row>
    <row r="18" spans="1:7" ht="15">
      <c r="A18" s="121"/>
      <c r="B18" s="570">
        <v>43465</v>
      </c>
      <c r="C18" s="571" t="s">
        <v>2</v>
      </c>
      <c r="D18" s="571"/>
      <c r="E18" s="571"/>
      <c r="F18" s="118">
        <v>0</v>
      </c>
      <c r="G18" s="560"/>
    </row>
    <row r="19" spans="1:7" ht="15">
      <c r="A19" s="121"/>
      <c r="B19" s="570"/>
      <c r="C19" s="571"/>
      <c r="D19" s="571"/>
      <c r="E19" s="571"/>
      <c r="F19" s="118"/>
      <c r="G19" s="560"/>
    </row>
    <row r="20" spans="1:11" ht="15.75" thickBot="1">
      <c r="A20" s="121"/>
      <c r="B20" s="182"/>
      <c r="C20" s="661" t="s">
        <v>421</v>
      </c>
      <c r="D20" s="662"/>
      <c r="E20" s="183"/>
      <c r="F20" s="184"/>
      <c r="G20" s="560"/>
      <c r="H20" s="150"/>
      <c r="K20" s="150"/>
    </row>
    <row r="21" spans="1:11" ht="15.75" thickBot="1">
      <c r="A21" s="121"/>
      <c r="B21" s="422"/>
      <c r="C21" s="149"/>
      <c r="D21" s="150"/>
      <c r="E21" s="150"/>
      <c r="F21" s="423"/>
      <c r="G21" s="150"/>
      <c r="H21" s="150"/>
      <c r="K21" s="150"/>
    </row>
    <row r="22" spans="1:11" ht="15">
      <c r="A22" s="121"/>
      <c r="B22" s="255" t="s">
        <v>0</v>
      </c>
      <c r="C22" s="426"/>
      <c r="D22" s="426"/>
      <c r="E22" s="221" t="s">
        <v>111</v>
      </c>
      <c r="F22" s="174"/>
      <c r="G22" s="150"/>
      <c r="H22" s="150"/>
      <c r="J22">
        <v>31.440000000000012</v>
      </c>
      <c r="K22" s="150"/>
    </row>
    <row r="23" spans="1:11" ht="15.75" thickBot="1">
      <c r="A23" s="121"/>
      <c r="B23" s="143"/>
      <c r="C23" s="661" t="s">
        <v>420</v>
      </c>
      <c r="D23" s="662"/>
      <c r="E23" s="145"/>
      <c r="F23" s="146"/>
      <c r="G23" s="150"/>
      <c r="H23" s="150"/>
      <c r="K23" s="150"/>
    </row>
    <row r="24" spans="1:11" ht="15.75" thickBot="1">
      <c r="A24" s="121"/>
      <c r="B24" s="84"/>
      <c r="C24" s="23"/>
      <c r="D24" s="23"/>
      <c r="E24" s="23"/>
      <c r="F24" s="23"/>
      <c r="G24" s="150"/>
      <c r="H24" s="150"/>
      <c r="K24" s="150"/>
    </row>
    <row r="25" spans="1:11" ht="15">
      <c r="A25" s="121"/>
      <c r="B25" s="432" t="s">
        <v>39</v>
      </c>
      <c r="C25" s="177"/>
      <c r="D25" s="177"/>
      <c r="E25" s="222" t="s">
        <v>112</v>
      </c>
      <c r="F25" s="433"/>
      <c r="G25" s="150"/>
      <c r="H25" s="150"/>
      <c r="K25" s="150"/>
    </row>
    <row r="26" spans="1:11" ht="15.75" thickBot="1">
      <c r="A26" s="121"/>
      <c r="B26" s="111">
        <v>43100</v>
      </c>
      <c r="C26" s="105" t="s">
        <v>2</v>
      </c>
      <c r="D26" s="105"/>
      <c r="E26" s="572"/>
      <c r="F26" s="112">
        <v>133.32</v>
      </c>
      <c r="G26" s="150"/>
      <c r="H26" s="663" t="e">
        <f>#REF!+#REF!+#REF!</f>
        <v>#REF!</v>
      </c>
      <c r="K26" s="150"/>
    </row>
    <row r="27" spans="2:11" ht="15">
      <c r="B27" s="427"/>
      <c r="C27" s="471" t="s">
        <v>362</v>
      </c>
      <c r="D27" s="471"/>
      <c r="E27" s="471"/>
      <c r="F27" s="193"/>
      <c r="G27" s="150"/>
      <c r="H27" s="560"/>
      <c r="K27" s="150"/>
    </row>
    <row r="28" spans="2:11" ht="15">
      <c r="B28" s="427">
        <v>43104</v>
      </c>
      <c r="C28" s="471" t="s">
        <v>67</v>
      </c>
      <c r="D28" s="471"/>
      <c r="E28" s="471"/>
      <c r="F28" s="193">
        <v>-10.9</v>
      </c>
      <c r="G28" s="150"/>
      <c r="H28" s="561" t="s">
        <v>376</v>
      </c>
      <c r="K28" s="150"/>
    </row>
    <row r="29" spans="2:11" ht="15">
      <c r="B29" s="427">
        <v>43135</v>
      </c>
      <c r="C29" s="471" t="s">
        <v>67</v>
      </c>
      <c r="D29" s="471"/>
      <c r="E29" s="471"/>
      <c r="F29" s="193">
        <v>-9.95</v>
      </c>
      <c r="G29" s="150"/>
      <c r="H29" s="561" t="s">
        <v>376</v>
      </c>
      <c r="K29" s="150"/>
    </row>
    <row r="30" spans="2:11" ht="15">
      <c r="B30" s="427">
        <v>43161</v>
      </c>
      <c r="C30" s="471" t="s">
        <v>67</v>
      </c>
      <c r="D30" s="471"/>
      <c r="E30" s="471"/>
      <c r="F30" s="193">
        <v>-9.95</v>
      </c>
      <c r="G30" s="150"/>
      <c r="H30" s="561" t="s">
        <v>376</v>
      </c>
      <c r="K30" s="150"/>
    </row>
    <row r="31" spans="2:11" ht="15">
      <c r="B31" s="427">
        <v>43195</v>
      </c>
      <c r="C31" s="471" t="s">
        <v>67</v>
      </c>
      <c r="D31" s="471"/>
      <c r="E31" s="471"/>
      <c r="F31" s="193">
        <v>-9.95</v>
      </c>
      <c r="G31" s="150"/>
      <c r="H31" s="560" t="s">
        <v>380</v>
      </c>
      <c r="K31" s="150"/>
    </row>
    <row r="32" spans="2:11" ht="15">
      <c r="B32" s="427">
        <v>43224</v>
      </c>
      <c r="C32" s="471" t="s">
        <v>67</v>
      </c>
      <c r="D32" s="471"/>
      <c r="E32" s="471"/>
      <c r="F32" s="193">
        <v>-9.94</v>
      </c>
      <c r="G32" s="150"/>
      <c r="H32" s="560" t="s">
        <v>376</v>
      </c>
      <c r="K32" s="150"/>
    </row>
    <row r="33" spans="2:11" ht="15">
      <c r="B33" s="427">
        <v>43256</v>
      </c>
      <c r="C33" s="471" t="s">
        <v>67</v>
      </c>
      <c r="D33" s="471"/>
      <c r="E33" s="471"/>
      <c r="F33" s="193">
        <v>-9.95</v>
      </c>
      <c r="G33" s="150"/>
      <c r="H33" s="560"/>
      <c r="K33" s="150"/>
    </row>
    <row r="34" spans="2:11" ht="15">
      <c r="B34" s="427">
        <v>43285</v>
      </c>
      <c r="C34" s="471" t="s">
        <v>67</v>
      </c>
      <c r="D34" s="471"/>
      <c r="E34" s="471"/>
      <c r="F34" s="193">
        <v>-9.94</v>
      </c>
      <c r="G34" s="150"/>
      <c r="H34" s="560"/>
      <c r="K34" s="150"/>
    </row>
    <row r="35" spans="2:11" ht="15">
      <c r="B35" s="427">
        <v>43316</v>
      </c>
      <c r="C35" s="471" t="s">
        <v>67</v>
      </c>
      <c r="D35" s="471"/>
      <c r="E35" s="471"/>
      <c r="F35" s="193">
        <v>-9.95</v>
      </c>
      <c r="G35" s="150"/>
      <c r="H35" s="560"/>
      <c r="K35" s="150"/>
    </row>
    <row r="36" spans="2:11" ht="15">
      <c r="B36" s="427">
        <v>43347</v>
      </c>
      <c r="C36" s="471" t="s">
        <v>67</v>
      </c>
      <c r="D36" s="471"/>
      <c r="E36" s="471"/>
      <c r="F36" s="193">
        <v>-9.95</v>
      </c>
      <c r="G36" s="150"/>
      <c r="H36" s="560"/>
      <c r="K36" s="150"/>
    </row>
    <row r="37" spans="2:11" ht="15">
      <c r="B37" s="427">
        <v>43375</v>
      </c>
      <c r="C37" s="471" t="s">
        <v>67</v>
      </c>
      <c r="D37" s="471"/>
      <c r="E37" s="471"/>
      <c r="F37" s="193">
        <v>-9.95</v>
      </c>
      <c r="G37" s="150"/>
      <c r="H37" s="560"/>
      <c r="K37" s="150"/>
    </row>
    <row r="38" spans="2:11" ht="15">
      <c r="B38" s="427">
        <v>43407</v>
      </c>
      <c r="C38" s="471" t="s">
        <v>67</v>
      </c>
      <c r="D38" s="471"/>
      <c r="E38" s="471"/>
      <c r="F38" s="193">
        <v>-9.95</v>
      </c>
      <c r="G38" s="150"/>
      <c r="H38" s="560"/>
      <c r="K38" s="150"/>
    </row>
    <row r="39" spans="2:11" ht="15">
      <c r="B39" s="427">
        <v>43438</v>
      </c>
      <c r="C39" s="471" t="s">
        <v>67</v>
      </c>
      <c r="D39" s="471"/>
      <c r="E39" s="471"/>
      <c r="F39" s="193">
        <v>-9.94</v>
      </c>
      <c r="G39" s="150"/>
      <c r="H39" s="560"/>
      <c r="K39" s="150"/>
    </row>
    <row r="40" spans="2:11" ht="15">
      <c r="B40" s="427"/>
      <c r="C40" s="471" t="s">
        <v>364</v>
      </c>
      <c r="D40" s="471"/>
      <c r="E40" s="471"/>
      <c r="F40" s="193">
        <f>SUM(F27:F39)</f>
        <v>-120.32000000000001</v>
      </c>
      <c r="G40" s="150"/>
      <c r="H40" s="560"/>
      <c r="K40" s="150"/>
    </row>
    <row r="41" spans="2:11" ht="15">
      <c r="B41" s="427"/>
      <c r="C41" s="471" t="s">
        <v>363</v>
      </c>
      <c r="D41" s="471"/>
      <c r="E41" s="471"/>
      <c r="F41" s="193"/>
      <c r="G41" s="150"/>
      <c r="H41" s="560"/>
      <c r="K41" s="150"/>
    </row>
    <row r="42" spans="2:11" ht="15">
      <c r="B42" s="427">
        <v>43364</v>
      </c>
      <c r="C42" s="471" t="s">
        <v>396</v>
      </c>
      <c r="D42" s="471"/>
      <c r="E42" s="471"/>
      <c r="F42" s="193">
        <v>0.97</v>
      </c>
      <c r="G42" s="150"/>
      <c r="H42" s="560"/>
      <c r="K42" s="150"/>
    </row>
    <row r="43" spans="2:11" ht="15">
      <c r="B43" s="427">
        <v>43367</v>
      </c>
      <c r="C43" s="471" t="s">
        <v>396</v>
      </c>
      <c r="D43" s="471"/>
      <c r="E43" s="471"/>
      <c r="F43" s="193">
        <v>0.97</v>
      </c>
      <c r="G43" s="150"/>
      <c r="H43" s="560"/>
      <c r="K43" s="150"/>
    </row>
    <row r="44" spans="2:11" ht="15">
      <c r="B44" s="427"/>
      <c r="C44" s="471" t="s">
        <v>365</v>
      </c>
      <c r="D44" s="471"/>
      <c r="E44" s="471"/>
      <c r="F44" s="193">
        <f>SUM(F41:F43)</f>
        <v>1.94</v>
      </c>
      <c r="G44" s="150"/>
      <c r="H44" s="560"/>
      <c r="K44" s="150"/>
    </row>
    <row r="45" spans="2:11" ht="15.75" thickBot="1">
      <c r="B45" s="570">
        <v>43465</v>
      </c>
      <c r="C45" s="571" t="s">
        <v>2</v>
      </c>
      <c r="D45" s="571"/>
      <c r="E45" s="571"/>
      <c r="F45" s="118">
        <f>F26+F40+F44</f>
        <v>14.939999999999985</v>
      </c>
      <c r="G45" s="150"/>
      <c r="H45" s="560"/>
      <c r="K45" s="150"/>
    </row>
    <row r="46" spans="2:11" ht="15">
      <c r="B46" s="665"/>
      <c r="C46" s="666" t="s">
        <v>424</v>
      </c>
      <c r="D46" s="666"/>
      <c r="E46" s="667"/>
      <c r="F46" s="507"/>
      <c r="G46" s="150"/>
      <c r="H46" s="150"/>
      <c r="K46" s="150"/>
    </row>
    <row r="47" spans="2:11" ht="15">
      <c r="B47" s="437">
        <v>43470</v>
      </c>
      <c r="C47" s="191" t="s">
        <v>67</v>
      </c>
      <c r="D47" s="191"/>
      <c r="E47" s="186"/>
      <c r="F47" s="240">
        <v>-9.95</v>
      </c>
      <c r="G47" s="150" t="s">
        <v>472</v>
      </c>
      <c r="H47" s="705" t="s">
        <v>457</v>
      </c>
      <c r="K47" s="150"/>
    </row>
    <row r="48" spans="2:11" ht="15">
      <c r="B48" s="437">
        <v>43500</v>
      </c>
      <c r="C48" s="191" t="s">
        <v>67</v>
      </c>
      <c r="D48" s="191"/>
      <c r="E48" s="186"/>
      <c r="F48" s="240">
        <v>-9.95</v>
      </c>
      <c r="G48" s="150" t="s">
        <v>472</v>
      </c>
      <c r="H48" s="705" t="s">
        <v>457</v>
      </c>
      <c r="K48" s="150"/>
    </row>
    <row r="49" spans="2:11" ht="15">
      <c r="B49" s="437">
        <v>43527</v>
      </c>
      <c r="C49" s="191" t="s">
        <v>67</v>
      </c>
      <c r="D49" s="191"/>
      <c r="E49" s="186"/>
      <c r="F49" s="240">
        <v>-9.95</v>
      </c>
      <c r="G49" s="150" t="s">
        <v>472</v>
      </c>
      <c r="H49" s="705" t="s">
        <v>457</v>
      </c>
      <c r="K49" s="150"/>
    </row>
    <row r="50" spans="2:11" ht="15">
      <c r="B50" s="437">
        <v>43557</v>
      </c>
      <c r="C50" s="191" t="s">
        <v>67</v>
      </c>
      <c r="D50" s="191"/>
      <c r="E50" s="186"/>
      <c r="F50" s="240">
        <v>-9.95</v>
      </c>
      <c r="G50" s="150" t="s">
        <v>472</v>
      </c>
      <c r="H50" s="705" t="s">
        <v>457</v>
      </c>
      <c r="K50" s="150"/>
    </row>
    <row r="51" spans="2:11" ht="15">
      <c r="B51" s="437">
        <v>43588</v>
      </c>
      <c r="C51" s="191" t="s">
        <v>67</v>
      </c>
      <c r="D51" s="191"/>
      <c r="E51" s="186"/>
      <c r="F51" s="240">
        <v>-8.3</v>
      </c>
      <c r="G51" s="150" t="s">
        <v>472</v>
      </c>
      <c r="H51" s="705" t="s">
        <v>457</v>
      </c>
      <c r="K51" s="150"/>
    </row>
    <row r="52" spans="2:11" ht="15">
      <c r="B52" s="437">
        <v>43620</v>
      </c>
      <c r="C52" s="191" t="s">
        <v>67</v>
      </c>
      <c r="D52" s="191"/>
      <c r="E52" s="186"/>
      <c r="F52" s="240">
        <f>-11.58</f>
        <v>-11.58</v>
      </c>
      <c r="G52" s="150" t="s">
        <v>472</v>
      </c>
      <c r="H52" s="705" t="s">
        <v>457</v>
      </c>
      <c r="K52" s="150"/>
    </row>
    <row r="53" spans="2:11" ht="15">
      <c r="B53" s="437">
        <v>43648</v>
      </c>
      <c r="C53" s="191" t="s">
        <v>67</v>
      </c>
      <c r="D53" s="191"/>
      <c r="E53" s="186"/>
      <c r="F53" s="240">
        <v>-9.95</v>
      </c>
      <c r="G53" s="150" t="s">
        <v>472</v>
      </c>
      <c r="H53" s="705" t="s">
        <v>457</v>
      </c>
      <c r="K53" s="150"/>
    </row>
    <row r="54" spans="2:11" ht="15">
      <c r="B54" s="437">
        <v>43679</v>
      </c>
      <c r="C54" s="191" t="s">
        <v>67</v>
      </c>
      <c r="D54" s="191"/>
      <c r="E54" s="186"/>
      <c r="F54" s="240">
        <v>-9.95</v>
      </c>
      <c r="G54" s="150" t="s">
        <v>472</v>
      </c>
      <c r="H54" s="705" t="s">
        <v>457</v>
      </c>
      <c r="K54" s="150"/>
    </row>
    <row r="55" spans="2:11" ht="15">
      <c r="B55" s="437">
        <v>43711</v>
      </c>
      <c r="C55" s="191" t="s">
        <v>67</v>
      </c>
      <c r="D55" s="191"/>
      <c r="E55" s="186"/>
      <c r="F55" s="240">
        <v>-9.95</v>
      </c>
      <c r="G55" s="150"/>
      <c r="H55" s="705" t="s">
        <v>457</v>
      </c>
      <c r="K55" s="150"/>
    </row>
    <row r="56" spans="2:11" ht="15">
      <c r="B56" s="437">
        <v>43741</v>
      </c>
      <c r="C56" s="191" t="s">
        <v>67</v>
      </c>
      <c r="D56" s="191"/>
      <c r="E56" s="186"/>
      <c r="F56" s="240">
        <v>-9.95</v>
      </c>
      <c r="G56" s="150"/>
      <c r="H56" s="705" t="s">
        <v>457</v>
      </c>
      <c r="K56" s="150"/>
    </row>
    <row r="57" spans="2:11" ht="15">
      <c r="B57" s="437">
        <v>43771</v>
      </c>
      <c r="C57" s="191" t="s">
        <v>67</v>
      </c>
      <c r="D57" s="191"/>
      <c r="E57" s="186"/>
      <c r="F57" s="240">
        <v>-9.95</v>
      </c>
      <c r="G57" s="150"/>
      <c r="H57" s="705" t="s">
        <v>457</v>
      </c>
      <c r="K57" s="150"/>
    </row>
    <row r="58" spans="2:11" ht="15">
      <c r="B58" s="437">
        <v>43802</v>
      </c>
      <c r="C58" s="191" t="s">
        <v>67</v>
      </c>
      <c r="D58" s="191"/>
      <c r="E58" s="186"/>
      <c r="F58" s="240">
        <v>-9.95</v>
      </c>
      <c r="G58" s="150"/>
      <c r="H58" s="705" t="s">
        <v>457</v>
      </c>
      <c r="K58" s="150"/>
    </row>
    <row r="59" spans="2:11" ht="15">
      <c r="B59" s="437"/>
      <c r="C59" s="191"/>
      <c r="D59" s="191"/>
      <c r="E59" s="186"/>
      <c r="F59" s="240"/>
      <c r="G59" s="150"/>
      <c r="H59" s="150"/>
      <c r="K59" s="150"/>
    </row>
    <row r="60" spans="2:11" ht="18.75" customHeight="1" thickBot="1">
      <c r="B60" s="668"/>
      <c r="C60" s="669" t="s">
        <v>425</v>
      </c>
      <c r="D60" s="669"/>
      <c r="E60" s="670"/>
      <c r="F60" s="671">
        <f>SUM(F46:F58)</f>
        <v>-119.38000000000001</v>
      </c>
      <c r="G60" s="150"/>
      <c r="H60" s="150"/>
      <c r="K60" s="150"/>
    </row>
    <row r="61" spans="2:11" ht="15">
      <c r="B61" s="437"/>
      <c r="C61" s="191" t="s">
        <v>426</v>
      </c>
      <c r="D61" s="191"/>
      <c r="E61" s="186"/>
      <c r="F61" s="240"/>
      <c r="G61" s="150"/>
      <c r="H61" s="150"/>
      <c r="K61" s="150"/>
    </row>
    <row r="62" spans="2:11" ht="15">
      <c r="B62" s="437"/>
      <c r="C62" s="191" t="s">
        <v>500</v>
      </c>
      <c r="D62" s="191"/>
      <c r="E62" s="186"/>
      <c r="F62" s="240">
        <f>-F197</f>
        <v>369.42</v>
      </c>
      <c r="G62" s="150"/>
      <c r="H62" s="709" t="s">
        <v>502</v>
      </c>
      <c r="I62" s="7" t="s">
        <v>509</v>
      </c>
      <c r="K62" s="150"/>
    </row>
    <row r="63" spans="2:11" ht="15">
      <c r="B63" s="437">
        <v>43791</v>
      </c>
      <c r="C63" s="191" t="s">
        <v>510</v>
      </c>
      <c r="D63" s="191"/>
      <c r="E63" s="186"/>
      <c r="F63" s="240">
        <v>90</v>
      </c>
      <c r="G63" s="150"/>
      <c r="H63" s="705" t="s">
        <v>457</v>
      </c>
      <c r="K63" s="150"/>
    </row>
    <row r="64" spans="2:11" ht="15">
      <c r="B64" s="437"/>
      <c r="C64" s="191"/>
      <c r="D64" s="191"/>
      <c r="E64" s="186"/>
      <c r="F64" s="240"/>
      <c r="G64" s="150"/>
      <c r="H64" s="150"/>
      <c r="K64" s="150"/>
    </row>
    <row r="65" spans="2:11" ht="15.75" thickBot="1">
      <c r="B65" s="668"/>
      <c r="C65" s="669" t="s">
        <v>427</v>
      </c>
      <c r="D65" s="669"/>
      <c r="E65" s="670"/>
      <c r="F65" s="671">
        <f>SUM(F61:F64)</f>
        <v>459.42</v>
      </c>
      <c r="G65" s="150"/>
      <c r="H65" s="150"/>
      <c r="K65" s="150"/>
    </row>
    <row r="66" spans="2:11" ht="15.75" thickBot="1">
      <c r="B66" s="111">
        <f>B2</f>
        <v>43830</v>
      </c>
      <c r="C66" s="105" t="s">
        <v>2</v>
      </c>
      <c r="D66" s="105"/>
      <c r="E66" s="572"/>
      <c r="F66" s="112">
        <f>F45+F60+F65</f>
        <v>354.98</v>
      </c>
      <c r="G66" s="150"/>
      <c r="H66" s="150"/>
      <c r="K66" s="150"/>
    </row>
    <row r="67" spans="2:11" ht="15" thickBot="1">
      <c r="B67" s="29"/>
      <c r="C67" s="29"/>
      <c r="D67" s="29"/>
      <c r="E67" s="29"/>
      <c r="F67" s="29"/>
      <c r="G67" s="150"/>
      <c r="H67" s="150"/>
      <c r="K67" s="150"/>
    </row>
    <row r="68" spans="1:11" ht="15">
      <c r="A68" s="108"/>
      <c r="B68" s="432" t="s">
        <v>45</v>
      </c>
      <c r="C68" s="177"/>
      <c r="D68" s="177"/>
      <c r="E68" s="222" t="s">
        <v>113</v>
      </c>
      <c r="F68" s="179"/>
      <c r="G68" s="150"/>
      <c r="H68" s="150"/>
      <c r="I68" s="150"/>
      <c r="J68" s="150"/>
      <c r="K68" s="150"/>
    </row>
    <row r="69" spans="2:11" ht="15.75" thickBot="1">
      <c r="B69" s="435"/>
      <c r="C69" s="661" t="s">
        <v>420</v>
      </c>
      <c r="D69" s="661"/>
      <c r="E69" s="475"/>
      <c r="F69" s="239"/>
      <c r="G69" s="150"/>
      <c r="H69" s="401"/>
      <c r="I69" s="235"/>
      <c r="J69" s="235"/>
      <c r="K69" s="235"/>
    </row>
    <row r="70" spans="2:11" ht="13.5" thickBot="1">
      <c r="B70" s="24"/>
      <c r="C70" s="24"/>
      <c r="D70" s="24"/>
      <c r="E70" s="24"/>
      <c r="F70" s="24"/>
      <c r="G70" s="150"/>
      <c r="H70" s="150"/>
      <c r="I70" s="150"/>
      <c r="J70" s="150"/>
      <c r="K70" s="150"/>
    </row>
    <row r="71" spans="1:11" ht="15">
      <c r="A71" s="108"/>
      <c r="B71" s="255" t="s">
        <v>95</v>
      </c>
      <c r="C71" s="203"/>
      <c r="D71" s="178"/>
      <c r="E71" s="222" t="s">
        <v>114</v>
      </c>
      <c r="F71" s="197"/>
      <c r="G71" s="150"/>
      <c r="H71" s="150"/>
      <c r="I71" s="150"/>
      <c r="J71" s="150"/>
      <c r="K71" s="150"/>
    </row>
    <row r="72" spans="2:11" ht="15">
      <c r="B72" s="119">
        <v>43100</v>
      </c>
      <c r="C72" s="262" t="s">
        <v>2</v>
      </c>
      <c r="D72" s="262"/>
      <c r="E72" s="262"/>
      <c r="F72" s="173">
        <v>31.44</v>
      </c>
      <c r="G72" s="150"/>
      <c r="H72" s="235"/>
      <c r="I72" s="121"/>
      <c r="K72" s="150"/>
    </row>
    <row r="73" spans="2:11" ht="15">
      <c r="B73" s="427"/>
      <c r="C73" s="471" t="s">
        <v>362</v>
      </c>
      <c r="D73" s="471"/>
      <c r="E73" s="471"/>
      <c r="F73" s="193"/>
      <c r="G73" s="150"/>
      <c r="H73" s="150"/>
      <c r="I73" s="121"/>
      <c r="K73" s="150"/>
    </row>
    <row r="74" spans="2:11" ht="15">
      <c r="B74" s="427"/>
      <c r="C74" s="471" t="s">
        <v>364</v>
      </c>
      <c r="D74" s="471"/>
      <c r="E74" s="471"/>
      <c r="F74" s="193">
        <f>SUM(F73:F73)</f>
        <v>0</v>
      </c>
      <c r="G74" s="150"/>
      <c r="H74" s="150"/>
      <c r="I74" s="150"/>
      <c r="J74" s="150"/>
      <c r="K74" s="150"/>
    </row>
    <row r="75" spans="2:11" ht="15">
      <c r="B75" s="427"/>
      <c r="C75" s="471" t="s">
        <v>363</v>
      </c>
      <c r="D75" s="471"/>
      <c r="E75" s="471"/>
      <c r="F75" s="193"/>
      <c r="G75" s="150"/>
      <c r="H75" s="150"/>
      <c r="I75" s="150"/>
      <c r="J75" s="150"/>
      <c r="K75" s="150"/>
    </row>
    <row r="76" spans="2:11" ht="15">
      <c r="B76" s="427"/>
      <c r="C76" s="471" t="s">
        <v>365</v>
      </c>
      <c r="D76" s="471"/>
      <c r="E76" s="471"/>
      <c r="F76" s="193">
        <f>SUM(F75:F75)</f>
        <v>0</v>
      </c>
      <c r="G76" s="150"/>
      <c r="H76" s="150"/>
      <c r="I76" s="150"/>
      <c r="J76" s="150"/>
      <c r="K76" s="150"/>
    </row>
    <row r="77" spans="2:11" ht="15.75" thickBot="1">
      <c r="B77" s="570">
        <v>43465</v>
      </c>
      <c r="C77" s="571" t="s">
        <v>2</v>
      </c>
      <c r="D77" s="571"/>
      <c r="E77" s="571"/>
      <c r="F77" s="118">
        <f>F72+F74+F76</f>
        <v>31.44</v>
      </c>
      <c r="G77" s="150"/>
      <c r="H77" s="150"/>
      <c r="I77" s="150"/>
      <c r="J77" s="150"/>
      <c r="K77" s="150"/>
    </row>
    <row r="78" spans="2:11" ht="15">
      <c r="B78" s="665"/>
      <c r="C78" s="666" t="s">
        <v>424</v>
      </c>
      <c r="D78" s="666"/>
      <c r="E78" s="667"/>
      <c r="F78" s="507"/>
      <c r="G78" s="150"/>
      <c r="H78" s="150"/>
      <c r="I78" s="150"/>
      <c r="J78" s="150"/>
      <c r="K78" s="150"/>
    </row>
    <row r="79" spans="2:11" ht="15.75" thickBot="1">
      <c r="B79" s="668"/>
      <c r="C79" s="669" t="s">
        <v>425</v>
      </c>
      <c r="D79" s="669"/>
      <c r="E79" s="670"/>
      <c r="F79" s="671">
        <f>SUM(F78:F78)</f>
        <v>0</v>
      </c>
      <c r="G79" s="150"/>
      <c r="H79" s="150"/>
      <c r="I79" s="150"/>
      <c r="J79" s="150"/>
      <c r="K79" s="150"/>
    </row>
    <row r="80" spans="2:11" ht="15">
      <c r="B80" s="665"/>
      <c r="C80" s="666" t="s">
        <v>426</v>
      </c>
      <c r="D80" s="666"/>
      <c r="E80" s="667"/>
      <c r="F80" s="507"/>
      <c r="G80" s="150"/>
      <c r="H80" s="150"/>
      <c r="I80" s="460"/>
      <c r="J80" s="460"/>
      <c r="K80" s="150"/>
    </row>
    <row r="81" spans="2:11" ht="15">
      <c r="B81" s="437"/>
      <c r="C81" s="191"/>
      <c r="D81" s="191"/>
      <c r="E81" s="186"/>
      <c r="F81" s="240"/>
      <c r="G81" s="150"/>
      <c r="H81" s="150"/>
      <c r="I81" s="235"/>
      <c r="J81" s="235"/>
      <c r="K81" s="150"/>
    </row>
    <row r="82" spans="2:11" ht="15.75" thickBot="1">
      <c r="B82" s="668"/>
      <c r="C82" s="669" t="s">
        <v>427</v>
      </c>
      <c r="D82" s="669"/>
      <c r="E82" s="670"/>
      <c r="F82" s="671">
        <f>SUM(F80:F81)</f>
        <v>0</v>
      </c>
      <c r="G82" s="150"/>
      <c r="H82" s="150"/>
      <c r="I82" s="235"/>
      <c r="J82" s="235"/>
      <c r="K82" s="150"/>
    </row>
    <row r="83" spans="2:11" ht="15.75" thickBot="1">
      <c r="B83" s="111">
        <f>B2</f>
        <v>43830</v>
      </c>
      <c r="C83" s="105" t="s">
        <v>2</v>
      </c>
      <c r="D83" s="105"/>
      <c r="E83" s="572"/>
      <c r="F83" s="112">
        <f>F77+F79+F82</f>
        <v>31.44</v>
      </c>
      <c r="G83" s="150"/>
      <c r="H83" s="150"/>
      <c r="I83" s="235"/>
      <c r="J83" s="235"/>
      <c r="K83" s="150"/>
    </row>
    <row r="84" spans="2:11" ht="13.5" thickBot="1">
      <c r="B84" s="24"/>
      <c r="C84" s="24"/>
      <c r="D84" s="24"/>
      <c r="E84" s="24"/>
      <c r="F84" s="24"/>
      <c r="G84" s="150"/>
      <c r="H84" s="150"/>
      <c r="I84" s="252"/>
      <c r="J84" s="235"/>
      <c r="K84" s="150"/>
    </row>
    <row r="85" spans="2:11" ht="12.75">
      <c r="B85" s="416" t="s">
        <v>131</v>
      </c>
      <c r="C85" s="417"/>
      <c r="D85" s="417"/>
      <c r="E85" s="417"/>
      <c r="F85" s="418"/>
      <c r="G85" s="150"/>
      <c r="H85" s="150"/>
      <c r="I85" s="235"/>
      <c r="J85" s="235"/>
      <c r="K85" s="150"/>
    </row>
    <row r="86" spans="2:11" ht="15">
      <c r="B86" s="439" t="s">
        <v>83</v>
      </c>
      <c r="C86" s="419"/>
      <c r="D86" s="176"/>
      <c r="E86" s="420" t="s">
        <v>115</v>
      </c>
      <c r="F86" s="198"/>
      <c r="G86" s="150"/>
      <c r="H86" s="150"/>
      <c r="I86" s="235"/>
      <c r="J86" s="235"/>
      <c r="K86" s="150"/>
    </row>
    <row r="87" spans="2:11" ht="15">
      <c r="B87" s="450">
        <v>43100</v>
      </c>
      <c r="C87" s="241" t="s">
        <v>422</v>
      </c>
      <c r="D87" s="241"/>
      <c r="E87" s="241"/>
      <c r="F87" s="240">
        <v>7537.84</v>
      </c>
      <c r="G87" s="150"/>
      <c r="H87" s="150"/>
      <c r="I87" s="235"/>
      <c r="J87" s="235"/>
      <c r="K87" s="150"/>
    </row>
    <row r="88" spans="2:11" ht="15">
      <c r="B88" s="427"/>
      <c r="C88" s="471" t="s">
        <v>362</v>
      </c>
      <c r="D88" s="471"/>
      <c r="E88" s="471"/>
      <c r="F88" s="193"/>
      <c r="G88" s="150"/>
      <c r="H88" s="150"/>
      <c r="I88" s="235"/>
      <c r="J88" s="235"/>
      <c r="K88" s="150"/>
    </row>
    <row r="89" spans="2:11" ht="15">
      <c r="B89" s="427">
        <v>43234</v>
      </c>
      <c r="C89" s="471" t="s">
        <v>381</v>
      </c>
      <c r="D89" s="471"/>
      <c r="E89" s="471"/>
      <c r="F89" s="193">
        <v>-186.2</v>
      </c>
      <c r="G89" s="150"/>
      <c r="H89" s="150"/>
      <c r="I89" s="252"/>
      <c r="J89" s="235"/>
      <c r="K89" s="150"/>
    </row>
    <row r="90" spans="2:11" ht="15">
      <c r="B90" s="427">
        <v>43285</v>
      </c>
      <c r="C90" s="471" t="s">
        <v>388</v>
      </c>
      <c r="D90" s="471"/>
      <c r="E90" s="471"/>
      <c r="F90" s="193">
        <v>-71.09</v>
      </c>
      <c r="G90" s="150"/>
      <c r="H90" s="150"/>
      <c r="I90" s="235"/>
      <c r="J90" s="235"/>
      <c r="K90" s="150"/>
    </row>
    <row r="91" spans="2:11" ht="15">
      <c r="B91" s="427">
        <v>43285</v>
      </c>
      <c r="C91" s="471" t="s">
        <v>389</v>
      </c>
      <c r="D91" s="471"/>
      <c r="E91" s="471"/>
      <c r="F91" s="193">
        <v>-24.75</v>
      </c>
      <c r="G91" s="150"/>
      <c r="H91" s="150"/>
      <c r="I91" s="235"/>
      <c r="J91" s="252"/>
      <c r="K91" s="150"/>
    </row>
    <row r="92" spans="2:11" ht="15">
      <c r="B92" s="427">
        <v>43289</v>
      </c>
      <c r="C92" s="471" t="s">
        <v>390</v>
      </c>
      <c r="D92" s="471"/>
      <c r="E92" s="471"/>
      <c r="F92" s="193">
        <v>-326.7</v>
      </c>
      <c r="G92" s="150"/>
      <c r="H92" s="150"/>
      <c r="I92" s="235"/>
      <c r="J92" s="252"/>
      <c r="K92" s="150"/>
    </row>
    <row r="93" spans="2:11" ht="15">
      <c r="B93" s="427">
        <v>43290</v>
      </c>
      <c r="C93" s="471" t="s">
        <v>391</v>
      </c>
      <c r="D93" s="471"/>
      <c r="E93" s="471"/>
      <c r="F93" s="193">
        <v>-97.28</v>
      </c>
      <c r="G93" s="150"/>
      <c r="H93" s="150"/>
      <c r="I93" s="235"/>
      <c r="J93" s="252"/>
      <c r="K93" s="150"/>
    </row>
    <row r="94" spans="2:11" ht="15">
      <c r="B94" s="427">
        <v>43297</v>
      </c>
      <c r="C94" s="471" t="s">
        <v>392</v>
      </c>
      <c r="D94" s="471"/>
      <c r="E94" s="471"/>
      <c r="F94" s="193">
        <v>-504.57</v>
      </c>
      <c r="G94" s="150"/>
      <c r="H94" s="150"/>
      <c r="I94" s="235"/>
      <c r="J94" s="235"/>
      <c r="K94" s="150"/>
    </row>
    <row r="95" spans="2:11" ht="15">
      <c r="B95" s="427">
        <v>43300</v>
      </c>
      <c r="C95" s="471" t="s">
        <v>394</v>
      </c>
      <c r="D95" s="471"/>
      <c r="E95" s="471"/>
      <c r="F95" s="193">
        <v>-150</v>
      </c>
      <c r="G95" s="150"/>
      <c r="H95" s="150"/>
      <c r="I95" s="227"/>
      <c r="J95" s="227"/>
      <c r="K95" s="150"/>
    </row>
    <row r="96" spans="2:11" ht="15">
      <c r="B96" s="427">
        <v>43375</v>
      </c>
      <c r="C96" s="471" t="s">
        <v>395</v>
      </c>
      <c r="D96" s="471"/>
      <c r="E96" s="471"/>
      <c r="F96" s="193">
        <v>-549.08</v>
      </c>
      <c r="G96" s="150"/>
      <c r="H96" s="235"/>
      <c r="K96" s="150"/>
    </row>
    <row r="97" spans="2:11" ht="15">
      <c r="B97" s="427">
        <v>43382</v>
      </c>
      <c r="C97" s="471" t="s">
        <v>397</v>
      </c>
      <c r="D97" s="471"/>
      <c r="E97" s="471"/>
      <c r="F97" s="193">
        <v>-48</v>
      </c>
      <c r="G97" s="150"/>
      <c r="H97" s="235"/>
      <c r="K97" s="150"/>
    </row>
    <row r="98" spans="2:11" ht="15">
      <c r="B98" s="427">
        <v>43388</v>
      </c>
      <c r="C98" s="471" t="s">
        <v>399</v>
      </c>
      <c r="D98" s="471"/>
      <c r="E98" s="471"/>
      <c r="F98" s="193">
        <v>-202.58</v>
      </c>
      <c r="G98" s="150"/>
      <c r="H98" s="235" t="s">
        <v>400</v>
      </c>
      <c r="K98" s="150"/>
    </row>
    <row r="99" spans="2:11" ht="15">
      <c r="B99" s="427">
        <v>43405</v>
      </c>
      <c r="C99" s="471" t="s">
        <v>401</v>
      </c>
      <c r="D99" s="471"/>
      <c r="E99" s="471"/>
      <c r="F99" s="193">
        <v>-315.6</v>
      </c>
      <c r="G99" s="150"/>
      <c r="H99" s="235"/>
      <c r="K99" s="150"/>
    </row>
    <row r="100" spans="2:11" ht="15">
      <c r="B100" s="427"/>
      <c r="C100" s="471"/>
      <c r="D100" s="471"/>
      <c r="E100" s="471"/>
      <c r="F100" s="193"/>
      <c r="G100" s="150"/>
      <c r="H100" s="235"/>
      <c r="K100" s="150"/>
    </row>
    <row r="101" spans="2:11" ht="15">
      <c r="B101" s="427"/>
      <c r="C101" s="471" t="s">
        <v>364</v>
      </c>
      <c r="D101" s="471"/>
      <c r="E101" s="471"/>
      <c r="F101" s="193">
        <f>SUM(F88:F99)</f>
        <v>-2475.85</v>
      </c>
      <c r="G101" s="150"/>
      <c r="H101" s="235"/>
      <c r="K101" s="150"/>
    </row>
    <row r="102" spans="2:11" ht="15">
      <c r="B102" s="427"/>
      <c r="C102" s="471" t="s">
        <v>363</v>
      </c>
      <c r="D102" s="471"/>
      <c r="E102" s="471"/>
      <c r="F102" s="193"/>
      <c r="G102" s="150"/>
      <c r="H102" s="235"/>
      <c r="K102" s="150"/>
    </row>
    <row r="103" spans="2:11" ht="15">
      <c r="B103" s="427">
        <v>43101</v>
      </c>
      <c r="C103" s="471" t="s">
        <v>59</v>
      </c>
      <c r="D103" s="471"/>
      <c r="E103" s="471"/>
      <c r="F103" s="193">
        <v>1.68</v>
      </c>
      <c r="G103" s="150"/>
      <c r="H103" s="252" t="s">
        <v>376</v>
      </c>
      <c r="K103" s="150"/>
    </row>
    <row r="104" spans="2:11" ht="15">
      <c r="B104" s="427"/>
      <c r="C104" s="471"/>
      <c r="D104" s="471"/>
      <c r="E104" s="471"/>
      <c r="F104" s="193"/>
      <c r="G104" s="150"/>
      <c r="H104" s="235"/>
      <c r="K104" s="150"/>
    </row>
    <row r="105" spans="2:11" ht="15">
      <c r="B105" s="427"/>
      <c r="C105" s="471" t="s">
        <v>365</v>
      </c>
      <c r="D105" s="471"/>
      <c r="E105" s="471"/>
      <c r="F105" s="193">
        <f>SUM(F102:F104)</f>
        <v>1.68</v>
      </c>
      <c r="G105" s="150"/>
      <c r="H105" s="235"/>
      <c r="K105" s="150"/>
    </row>
    <row r="106" spans="2:11" ht="15.75" thickBot="1">
      <c r="B106" s="570">
        <v>43465</v>
      </c>
      <c r="C106" s="571" t="s">
        <v>2</v>
      </c>
      <c r="D106" s="571"/>
      <c r="E106" s="571"/>
      <c r="F106" s="118">
        <f>F87+F101+F105</f>
        <v>5063.67</v>
      </c>
      <c r="G106" s="150"/>
      <c r="H106" s="235"/>
      <c r="K106" s="150"/>
    </row>
    <row r="107" spans="1:11" ht="15">
      <c r="A107" s="121"/>
      <c r="B107" s="665"/>
      <c r="C107" s="666" t="s">
        <v>424</v>
      </c>
      <c r="D107" s="666"/>
      <c r="E107" s="667"/>
      <c r="F107" s="507"/>
      <c r="G107" s="150"/>
      <c r="H107" s="150"/>
      <c r="K107" s="150"/>
    </row>
    <row r="108" spans="1:11" ht="15">
      <c r="A108" s="702"/>
      <c r="B108" s="437">
        <v>43702</v>
      </c>
      <c r="C108" s="191" t="s">
        <v>471</v>
      </c>
      <c r="D108" s="191"/>
      <c r="E108" s="186"/>
      <c r="F108" s="240">
        <v>-154.88</v>
      </c>
      <c r="G108" s="150"/>
      <c r="H108" s="705" t="s">
        <v>376</v>
      </c>
      <c r="K108" s="150"/>
    </row>
    <row r="109" spans="1:11" ht="15">
      <c r="A109" s="702"/>
      <c r="B109" s="437">
        <v>43713</v>
      </c>
      <c r="C109" s="191" t="s">
        <v>473</v>
      </c>
      <c r="D109" s="191"/>
      <c r="E109" s="186"/>
      <c r="F109" s="240">
        <v>-144.25</v>
      </c>
      <c r="G109" s="150"/>
      <c r="H109" s="705" t="s">
        <v>376</v>
      </c>
      <c r="K109" s="150"/>
    </row>
    <row r="110" spans="1:11" ht="15">
      <c r="A110" s="702"/>
      <c r="B110" s="437">
        <v>43738</v>
      </c>
      <c r="C110" s="191" t="s">
        <v>476</v>
      </c>
      <c r="D110" s="191"/>
      <c r="E110" s="186">
        <v>20190030</v>
      </c>
      <c r="F110" s="240">
        <v>-1863.4</v>
      </c>
      <c r="G110" s="150"/>
      <c r="H110" s="705" t="s">
        <v>376</v>
      </c>
      <c r="K110" s="150"/>
    </row>
    <row r="111" spans="1:11" ht="15">
      <c r="A111" s="702"/>
      <c r="B111" s="437">
        <v>43746</v>
      </c>
      <c r="C111" s="191" t="s">
        <v>477</v>
      </c>
      <c r="D111" s="191"/>
      <c r="E111" s="186"/>
      <c r="F111" s="240">
        <v>-337.63</v>
      </c>
      <c r="G111" s="150"/>
      <c r="H111" s="705" t="s">
        <v>376</v>
      </c>
      <c r="K111" s="150"/>
    </row>
    <row r="112" spans="1:11" ht="15">
      <c r="A112" s="121"/>
      <c r="B112" s="437">
        <v>43781</v>
      </c>
      <c r="C112" s="191" t="s">
        <v>506</v>
      </c>
      <c r="D112" s="191"/>
      <c r="E112" s="186"/>
      <c r="F112" s="240">
        <v>-90</v>
      </c>
      <c r="G112" s="150"/>
      <c r="H112" s="705" t="s">
        <v>376</v>
      </c>
      <c r="K112" s="150"/>
    </row>
    <row r="113" spans="1:11" ht="15">
      <c r="A113" s="121"/>
      <c r="B113" s="437">
        <v>43809</v>
      </c>
      <c r="C113" s="191" t="s">
        <v>507</v>
      </c>
      <c r="D113" s="191"/>
      <c r="E113" s="186"/>
      <c r="F113" s="240">
        <v>-121</v>
      </c>
      <c r="G113" s="150"/>
      <c r="H113" s="705" t="s">
        <v>376</v>
      </c>
      <c r="K113" s="150"/>
    </row>
    <row r="114" spans="1:11" ht="15">
      <c r="A114" s="121"/>
      <c r="B114" s="437"/>
      <c r="C114" s="191"/>
      <c r="D114" s="191"/>
      <c r="E114" s="186"/>
      <c r="F114" s="240"/>
      <c r="G114" s="150"/>
      <c r="H114" s="150"/>
      <c r="K114" s="150"/>
    </row>
    <row r="115" spans="1:11" ht="15.75" thickBot="1">
      <c r="A115" s="121"/>
      <c r="B115" s="668"/>
      <c r="C115" s="669" t="s">
        <v>425</v>
      </c>
      <c r="D115" s="669"/>
      <c r="E115" s="670"/>
      <c r="F115" s="671">
        <f>SUM(F107:F113)</f>
        <v>-2711.1600000000003</v>
      </c>
      <c r="G115" s="150"/>
      <c r="H115" s="150"/>
      <c r="K115" s="150"/>
    </row>
    <row r="116" spans="1:11" ht="15">
      <c r="A116" s="121"/>
      <c r="B116" s="665"/>
      <c r="C116" s="666" t="s">
        <v>481</v>
      </c>
      <c r="D116" s="666"/>
      <c r="E116" s="667"/>
      <c r="F116" s="507"/>
      <c r="G116" s="150"/>
      <c r="H116" s="150"/>
      <c r="K116" s="150"/>
    </row>
    <row r="117" spans="1:11" ht="15">
      <c r="A117" s="121"/>
      <c r="B117" s="437"/>
      <c r="C117" s="241">
        <v>43466</v>
      </c>
      <c r="D117" s="191" t="s">
        <v>59</v>
      </c>
      <c r="E117" s="186"/>
      <c r="F117" s="240">
        <v>0.65</v>
      </c>
      <c r="G117" s="150"/>
      <c r="H117" s="705" t="s">
        <v>376</v>
      </c>
      <c r="K117" s="150"/>
    </row>
    <row r="118" spans="1:13" ht="17.25">
      <c r="A118" s="121"/>
      <c r="B118" s="437">
        <v>43500</v>
      </c>
      <c r="C118" s="191" t="s">
        <v>464</v>
      </c>
      <c r="D118" s="191"/>
      <c r="E118" s="186"/>
      <c r="F118" s="240">
        <v>1250</v>
      </c>
      <c r="G118" s="150"/>
      <c r="H118" s="705" t="s">
        <v>376</v>
      </c>
      <c r="I118" s="685"/>
      <c r="J118" s="133"/>
      <c r="K118" s="695"/>
      <c r="L118" s="583"/>
      <c r="M118" s="121"/>
    </row>
    <row r="119" spans="1:13" ht="15">
      <c r="A119" s="121"/>
      <c r="B119" s="437">
        <v>43501</v>
      </c>
      <c r="C119" s="191" t="s">
        <v>164</v>
      </c>
      <c r="D119" s="191"/>
      <c r="E119" s="186"/>
      <c r="F119" s="240">
        <v>10</v>
      </c>
      <c r="G119" s="150"/>
      <c r="H119" s="705" t="s">
        <v>376</v>
      </c>
      <c r="I119" s="133"/>
      <c r="J119" s="133"/>
      <c r="K119" s="480"/>
      <c r="L119" s="133"/>
      <c r="M119" s="121"/>
    </row>
    <row r="120" spans="1:13" ht="15">
      <c r="A120" s="121"/>
      <c r="B120" s="437">
        <v>43523</v>
      </c>
      <c r="C120" s="191" t="s">
        <v>463</v>
      </c>
      <c r="D120" s="191"/>
      <c r="E120" s="186"/>
      <c r="F120" s="240">
        <v>2500</v>
      </c>
      <c r="G120" s="150"/>
      <c r="H120" s="705" t="s">
        <v>376</v>
      </c>
      <c r="I120" s="121"/>
      <c r="J120" s="133"/>
      <c r="K120" s="121"/>
      <c r="L120" s="133"/>
      <c r="M120" s="121"/>
    </row>
    <row r="121" spans="1:13" ht="15">
      <c r="A121" s="121"/>
      <c r="B121" s="437">
        <v>43537</v>
      </c>
      <c r="C121" s="191" t="s">
        <v>461</v>
      </c>
      <c r="D121" s="191"/>
      <c r="E121" s="186"/>
      <c r="F121" s="240">
        <v>1000</v>
      </c>
      <c r="G121" s="150"/>
      <c r="H121" s="705" t="s">
        <v>376</v>
      </c>
      <c r="I121" s="133"/>
      <c r="J121" s="133"/>
      <c r="K121" s="235"/>
      <c r="L121" s="121"/>
      <c r="M121" s="121"/>
    </row>
    <row r="122" spans="1:13" ht="15">
      <c r="A122" s="121"/>
      <c r="B122" s="437">
        <v>43552</v>
      </c>
      <c r="C122" s="191" t="s">
        <v>462</v>
      </c>
      <c r="D122" s="191"/>
      <c r="E122" s="186"/>
      <c r="F122" s="240">
        <v>3500</v>
      </c>
      <c r="G122" s="150"/>
      <c r="H122" s="705" t="s">
        <v>488</v>
      </c>
      <c r="I122" s="133"/>
      <c r="J122" s="133"/>
      <c r="K122" s="685"/>
      <c r="L122" s="121"/>
      <c r="M122" s="121"/>
    </row>
    <row r="123" spans="1:13" ht="15">
      <c r="A123" s="121"/>
      <c r="B123" s="437">
        <v>43773</v>
      </c>
      <c r="C123" s="191" t="s">
        <v>489</v>
      </c>
      <c r="D123" s="191"/>
      <c r="E123" s="186"/>
      <c r="F123" s="608">
        <v>-1000</v>
      </c>
      <c r="G123" s="150"/>
      <c r="H123" s="705" t="s">
        <v>491</v>
      </c>
      <c r="I123" s="706"/>
      <c r="J123" s="133"/>
      <c r="K123" s="121"/>
      <c r="L123" s="121"/>
      <c r="M123" s="121"/>
    </row>
    <row r="124" spans="1:13" ht="15">
      <c r="A124" s="121"/>
      <c r="B124" s="437">
        <v>43552</v>
      </c>
      <c r="C124" s="191" t="s">
        <v>465</v>
      </c>
      <c r="D124" s="191"/>
      <c r="E124" s="186"/>
      <c r="F124" s="240">
        <v>3000</v>
      </c>
      <c r="G124" s="150"/>
      <c r="H124" s="705" t="s">
        <v>376</v>
      </c>
      <c r="I124" s="133"/>
      <c r="J124" s="133"/>
      <c r="K124" s="121"/>
      <c r="L124" s="121"/>
      <c r="M124" s="121"/>
    </row>
    <row r="125" spans="1:13" ht="17.25">
      <c r="A125" s="121"/>
      <c r="B125" s="437">
        <v>43605</v>
      </c>
      <c r="C125" s="191" t="s">
        <v>466</v>
      </c>
      <c r="D125" s="191"/>
      <c r="E125" s="186"/>
      <c r="F125" s="240">
        <v>2250</v>
      </c>
      <c r="G125" s="150"/>
      <c r="H125" s="705" t="s">
        <v>376</v>
      </c>
      <c r="I125" s="133"/>
      <c r="J125" s="133"/>
      <c r="K125" s="583"/>
      <c r="L125" s="121"/>
      <c r="M125" s="121"/>
    </row>
    <row r="126" spans="1:13" ht="17.25">
      <c r="A126" s="121"/>
      <c r="B126" s="437">
        <v>43738</v>
      </c>
      <c r="C126" s="191" t="s">
        <v>492</v>
      </c>
      <c r="D126" s="191"/>
      <c r="E126" s="186"/>
      <c r="F126" s="240">
        <v>4000</v>
      </c>
      <c r="G126" s="150"/>
      <c r="H126" s="705" t="s">
        <v>376</v>
      </c>
      <c r="I126" s="133"/>
      <c r="J126" s="133"/>
      <c r="K126" s="583"/>
      <c r="L126" s="121"/>
      <c r="M126" s="121"/>
    </row>
    <row r="127" spans="1:13" ht="15">
      <c r="A127" s="121"/>
      <c r="B127" s="437">
        <v>43773</v>
      </c>
      <c r="C127" s="191" t="s">
        <v>497</v>
      </c>
      <c r="D127" s="191"/>
      <c r="E127" s="186"/>
      <c r="F127" s="240">
        <v>4000</v>
      </c>
      <c r="G127" s="150"/>
      <c r="H127" s="708" t="s">
        <v>513</v>
      </c>
      <c r="I127" s="133"/>
      <c r="J127" s="133"/>
      <c r="K127" s="121"/>
      <c r="L127" s="121"/>
      <c r="M127" s="121"/>
    </row>
    <row r="128" spans="1:13" ht="15">
      <c r="A128" s="121"/>
      <c r="B128" s="437">
        <v>43773</v>
      </c>
      <c r="C128" s="191" t="s">
        <v>496</v>
      </c>
      <c r="D128" s="191"/>
      <c r="E128" s="186"/>
      <c r="F128" s="240">
        <v>1000</v>
      </c>
      <c r="G128" s="150"/>
      <c r="H128" s="705" t="s">
        <v>498</v>
      </c>
      <c r="I128" s="133"/>
      <c r="J128" s="133"/>
      <c r="K128" s="121"/>
      <c r="L128" s="121"/>
      <c r="M128" s="121"/>
    </row>
    <row r="129" spans="1:13" ht="15">
      <c r="A129" s="121"/>
      <c r="B129" s="437"/>
      <c r="C129" s="191"/>
      <c r="D129" s="191"/>
      <c r="E129" s="186"/>
      <c r="F129" s="240"/>
      <c r="G129" s="150"/>
      <c r="H129" s="150"/>
      <c r="I129" s="133"/>
      <c r="J129" s="133"/>
      <c r="K129" s="121"/>
      <c r="L129" s="121"/>
      <c r="M129" s="121"/>
    </row>
    <row r="130" spans="1:13" ht="15.75" thickBot="1">
      <c r="A130" s="121"/>
      <c r="B130" s="668"/>
      <c r="C130" s="669" t="s">
        <v>427</v>
      </c>
      <c r="D130" s="669"/>
      <c r="E130" s="670"/>
      <c r="F130" s="671">
        <f>SUM(F116:F128)</f>
        <v>21510.65</v>
      </c>
      <c r="G130" s="150"/>
      <c r="H130" s="150"/>
      <c r="I130" s="121"/>
      <c r="J130" s="121"/>
      <c r="K130" s="150"/>
      <c r="L130" s="121"/>
      <c r="M130" s="121"/>
    </row>
    <row r="131" spans="1:11" ht="15.75" thickBot="1">
      <c r="A131" s="121"/>
      <c r="B131" s="111">
        <f>B2</f>
        <v>43830</v>
      </c>
      <c r="C131" s="105" t="s">
        <v>2</v>
      </c>
      <c r="D131" s="105"/>
      <c r="E131" s="572"/>
      <c r="F131" s="112">
        <f>F106+F115+F130</f>
        <v>23863.16</v>
      </c>
      <c r="G131" s="150"/>
      <c r="H131" s="150"/>
      <c r="K131" s="150"/>
    </row>
    <row r="132" spans="1:11" ht="15.75" thickBot="1">
      <c r="A132" s="121"/>
      <c r="B132" s="228"/>
      <c r="C132" s="230"/>
      <c r="D132" s="230"/>
      <c r="E132" s="230"/>
      <c r="F132" s="227"/>
      <c r="G132" s="150"/>
      <c r="H132" s="150"/>
      <c r="K132" s="150"/>
    </row>
    <row r="133" spans="1:11" ht="15">
      <c r="A133" s="108"/>
      <c r="B133" s="255" t="s">
        <v>88</v>
      </c>
      <c r="C133" s="203"/>
      <c r="D133" s="203"/>
      <c r="E133" s="443" t="s">
        <v>116</v>
      </c>
      <c r="F133" s="444"/>
      <c r="G133" s="150"/>
      <c r="H133" s="150"/>
      <c r="K133" s="150"/>
    </row>
    <row r="134" spans="2:11" ht="15.75" thickBot="1">
      <c r="B134" s="445">
        <v>43100</v>
      </c>
      <c r="C134" s="446" t="s">
        <v>2</v>
      </c>
      <c r="D134" s="446"/>
      <c r="E134" s="446"/>
      <c r="F134" s="239">
        <v>1500</v>
      </c>
      <c r="G134" s="563"/>
      <c r="H134" s="235"/>
      <c r="K134" s="150"/>
    </row>
    <row r="135" spans="2:11" ht="15">
      <c r="B135" s="427"/>
      <c r="C135" s="471" t="s">
        <v>362</v>
      </c>
      <c r="D135" s="471"/>
      <c r="E135" s="471"/>
      <c r="F135" s="193"/>
      <c r="G135" s="563"/>
      <c r="H135" s="150"/>
      <c r="K135" s="150"/>
    </row>
    <row r="136" spans="2:11" ht="15">
      <c r="B136" s="427">
        <v>43171</v>
      </c>
      <c r="C136" s="471" t="s">
        <v>372</v>
      </c>
      <c r="D136" s="471"/>
      <c r="E136" s="471"/>
      <c r="F136" s="193">
        <v>-1500</v>
      </c>
      <c r="G136" s="563"/>
      <c r="H136" s="150" t="s">
        <v>374</v>
      </c>
      <c r="K136" s="150"/>
    </row>
    <row r="137" spans="2:11" ht="15">
      <c r="B137" s="427">
        <v>43171</v>
      </c>
      <c r="C137" s="471" t="s">
        <v>373</v>
      </c>
      <c r="D137" s="471"/>
      <c r="E137" s="471"/>
      <c r="F137" s="193">
        <v>-1500</v>
      </c>
      <c r="G137" s="563"/>
      <c r="H137" s="150" t="s">
        <v>374</v>
      </c>
      <c r="K137" s="150"/>
    </row>
    <row r="138" spans="2:11" ht="15">
      <c r="B138" s="427"/>
      <c r="C138" s="471" t="s">
        <v>364</v>
      </c>
      <c r="D138" s="471"/>
      <c r="E138" s="471"/>
      <c r="F138" s="193">
        <f>SUM(F135:F137)</f>
        <v>-3000</v>
      </c>
      <c r="G138" s="563"/>
      <c r="H138" s="150"/>
      <c r="K138" s="150"/>
    </row>
    <row r="139" spans="2:11" ht="15">
      <c r="B139" s="427"/>
      <c r="C139" s="471" t="s">
        <v>363</v>
      </c>
      <c r="D139" s="471"/>
      <c r="E139" s="471"/>
      <c r="F139" s="193"/>
      <c r="G139" s="563"/>
      <c r="H139" s="150"/>
      <c r="K139" s="150"/>
    </row>
    <row r="140" spans="2:11" ht="15">
      <c r="B140" s="427">
        <v>43154</v>
      </c>
      <c r="C140" s="471" t="s">
        <v>369</v>
      </c>
      <c r="D140" s="471"/>
      <c r="E140" s="471"/>
      <c r="F140" s="193">
        <v>3000</v>
      </c>
      <c r="G140" s="563"/>
      <c r="H140" s="224" t="s">
        <v>376</v>
      </c>
      <c r="K140" s="150"/>
    </row>
    <row r="141" spans="2:11" ht="15">
      <c r="B141" s="427"/>
      <c r="C141" s="471"/>
      <c r="D141" s="471"/>
      <c r="E141" s="471"/>
      <c r="F141" s="193"/>
      <c r="G141" s="563"/>
      <c r="H141" s="150"/>
      <c r="K141" s="150"/>
    </row>
    <row r="142" spans="2:11" ht="15">
      <c r="B142" s="427"/>
      <c r="C142" s="471" t="s">
        <v>365</v>
      </c>
      <c r="D142" s="471"/>
      <c r="E142" s="471"/>
      <c r="F142" s="193">
        <f>SUM(F139:F141)</f>
        <v>3000</v>
      </c>
      <c r="G142" s="563"/>
      <c r="H142" s="150"/>
      <c r="K142" s="150"/>
    </row>
    <row r="143" spans="2:11" ht="15.75" thickBot="1">
      <c r="B143" s="570">
        <v>43465</v>
      </c>
      <c r="C143" s="571" t="s">
        <v>2</v>
      </c>
      <c r="D143" s="571"/>
      <c r="E143" s="571"/>
      <c r="F143" s="118">
        <f>F134+F138+F142</f>
        <v>1500</v>
      </c>
      <c r="G143" s="563"/>
      <c r="H143" s="150"/>
      <c r="K143" s="150"/>
    </row>
    <row r="144" spans="2:11" ht="15">
      <c r="B144" s="665"/>
      <c r="C144" s="666" t="s">
        <v>424</v>
      </c>
      <c r="D144" s="666"/>
      <c r="E144" s="667"/>
      <c r="F144" s="507"/>
      <c r="G144" s="150"/>
      <c r="H144" s="150"/>
      <c r="K144" s="150"/>
    </row>
    <row r="145" spans="1:11" ht="15">
      <c r="A145" s="481"/>
      <c r="B145" s="437">
        <v>43738</v>
      </c>
      <c r="C145" s="191" t="s">
        <v>474</v>
      </c>
      <c r="D145" s="191"/>
      <c r="E145" s="186"/>
      <c r="F145" s="240">
        <v>-2500</v>
      </c>
      <c r="G145" s="150"/>
      <c r="H145" s="705" t="s">
        <v>376</v>
      </c>
      <c r="K145" s="150"/>
    </row>
    <row r="146" spans="2:11" ht="15">
      <c r="B146" s="437"/>
      <c r="C146" s="191"/>
      <c r="D146" s="191"/>
      <c r="E146" s="186"/>
      <c r="F146" s="240"/>
      <c r="G146" s="150"/>
      <c r="H146" s="150"/>
      <c r="K146" s="150"/>
    </row>
    <row r="147" spans="2:11" ht="15">
      <c r="B147" s="437"/>
      <c r="C147" s="191"/>
      <c r="D147" s="191"/>
      <c r="E147" s="186"/>
      <c r="F147" s="240"/>
      <c r="G147" s="150"/>
      <c r="H147" s="150"/>
      <c r="K147" s="150"/>
    </row>
    <row r="148" spans="2:11" ht="15.75" thickBot="1">
      <c r="B148" s="668"/>
      <c r="C148" s="669" t="s">
        <v>425</v>
      </c>
      <c r="D148" s="669"/>
      <c r="E148" s="670"/>
      <c r="F148" s="671">
        <f>SUM(F144:F147)</f>
        <v>-2500</v>
      </c>
      <c r="G148" s="150"/>
      <c r="H148" s="150"/>
      <c r="K148" s="150"/>
    </row>
    <row r="149" spans="2:11" ht="15">
      <c r="B149" s="665"/>
      <c r="C149" s="666" t="s">
        <v>482</v>
      </c>
      <c r="D149" s="666"/>
      <c r="E149" s="667"/>
      <c r="F149" s="507"/>
      <c r="G149" s="150"/>
      <c r="H149" s="150"/>
      <c r="K149" s="150"/>
    </row>
    <row r="150" spans="2:11" ht="15">
      <c r="B150" s="437">
        <v>43702</v>
      </c>
      <c r="C150" s="191" t="s">
        <v>493</v>
      </c>
      <c r="D150" s="191"/>
      <c r="E150" s="186"/>
      <c r="F150" s="240">
        <v>5000</v>
      </c>
      <c r="G150" s="150" t="s">
        <v>472</v>
      </c>
      <c r="H150" s="705" t="s">
        <v>499</v>
      </c>
      <c r="K150" s="150"/>
    </row>
    <row r="151" spans="2:11" ht="15">
      <c r="B151" s="437"/>
      <c r="C151" s="191"/>
      <c r="D151" s="191"/>
      <c r="E151" s="186"/>
      <c r="F151" s="240"/>
      <c r="G151" s="150"/>
      <c r="H151" s="150"/>
      <c r="K151" s="150"/>
    </row>
    <row r="152" spans="2:11" ht="15">
      <c r="B152" s="437">
        <v>43773</v>
      </c>
      <c r="C152" s="191" t="s">
        <v>511</v>
      </c>
      <c r="D152" s="191"/>
      <c r="E152" s="186"/>
      <c r="F152" s="608">
        <v>-4000</v>
      </c>
      <c r="G152" s="696"/>
      <c r="H152" s="696" t="s">
        <v>494</v>
      </c>
      <c r="K152" s="150"/>
    </row>
    <row r="153" spans="2:11" ht="15">
      <c r="B153" s="437">
        <v>43773</v>
      </c>
      <c r="C153" s="191" t="s">
        <v>512</v>
      </c>
      <c r="D153" s="191"/>
      <c r="E153" s="186"/>
      <c r="F153" s="608">
        <v>-1000</v>
      </c>
      <c r="G153" s="696"/>
      <c r="H153" s="696" t="s">
        <v>495</v>
      </c>
      <c r="K153" s="150"/>
    </row>
    <row r="154" spans="2:11" ht="15">
      <c r="B154" s="437">
        <v>43780</v>
      </c>
      <c r="C154" s="191" t="s">
        <v>490</v>
      </c>
      <c r="D154" s="191"/>
      <c r="E154" s="186"/>
      <c r="F154" s="240">
        <v>2250</v>
      </c>
      <c r="G154" s="150"/>
      <c r="H154" s="705" t="s">
        <v>376</v>
      </c>
      <c r="K154" s="150"/>
    </row>
    <row r="155" spans="2:11" ht="15.75" thickBot="1">
      <c r="B155" s="668"/>
      <c r="C155" s="669" t="s">
        <v>427</v>
      </c>
      <c r="D155" s="669"/>
      <c r="E155" s="670"/>
      <c r="F155" s="671">
        <f>SUM(F149:F154)</f>
        <v>2250</v>
      </c>
      <c r="G155" s="150"/>
      <c r="H155" s="150"/>
      <c r="K155" s="150"/>
    </row>
    <row r="156" spans="2:11" ht="15.75" thickBot="1">
      <c r="B156" s="111">
        <f>B2</f>
        <v>43830</v>
      </c>
      <c r="C156" s="105" t="s">
        <v>2</v>
      </c>
      <c r="D156" s="105"/>
      <c r="E156" s="572"/>
      <c r="F156" s="112">
        <f>F143+F148+F155</f>
        <v>1250</v>
      </c>
      <c r="G156" s="150"/>
      <c r="H156" s="150"/>
      <c r="K156" s="150"/>
    </row>
    <row r="157" spans="2:11" ht="13.5" thickBot="1">
      <c r="B157" s="24"/>
      <c r="C157" s="24"/>
      <c r="D157" s="24"/>
      <c r="E157" s="24"/>
      <c r="F157" s="24"/>
      <c r="G157" s="150"/>
      <c r="H157" s="150"/>
      <c r="K157" s="150"/>
    </row>
    <row r="158" spans="1:11" ht="15">
      <c r="A158" s="108"/>
      <c r="B158" s="255" t="s">
        <v>93</v>
      </c>
      <c r="C158" s="203"/>
      <c r="D158" s="203"/>
      <c r="E158" s="443" t="s">
        <v>117</v>
      </c>
      <c r="F158" s="444"/>
      <c r="G158" s="150"/>
      <c r="H158" s="150"/>
      <c r="K158" s="150"/>
    </row>
    <row r="159" spans="2:11" ht="15">
      <c r="B159" s="119">
        <v>43100</v>
      </c>
      <c r="C159" s="262" t="s">
        <v>2</v>
      </c>
      <c r="D159" s="262"/>
      <c r="E159" s="262"/>
      <c r="F159" s="173">
        <v>48.66</v>
      </c>
      <c r="G159" s="563"/>
      <c r="H159" s="132"/>
      <c r="K159" s="150"/>
    </row>
    <row r="160" spans="2:11" ht="15">
      <c r="B160" s="427"/>
      <c r="C160" s="471" t="s">
        <v>362</v>
      </c>
      <c r="D160" s="471"/>
      <c r="E160" s="471"/>
      <c r="F160" s="193"/>
      <c r="G160" s="563"/>
      <c r="K160" s="150"/>
    </row>
    <row r="161" spans="2:11" ht="15">
      <c r="B161" s="427"/>
      <c r="C161" s="471" t="s">
        <v>364</v>
      </c>
      <c r="D161" s="471"/>
      <c r="E161" s="471"/>
      <c r="F161" s="193">
        <f>SUM(F160:F160)</f>
        <v>0</v>
      </c>
      <c r="G161" s="563"/>
      <c r="K161" s="150"/>
    </row>
    <row r="162" spans="2:11" ht="15">
      <c r="B162" s="427"/>
      <c r="C162" s="471" t="s">
        <v>363</v>
      </c>
      <c r="D162" s="471"/>
      <c r="E162" s="471"/>
      <c r="F162" s="193"/>
      <c r="G162" s="563"/>
      <c r="K162" s="150"/>
    </row>
    <row r="163" spans="2:11" ht="15.75" thickBot="1">
      <c r="B163" s="427"/>
      <c r="C163" s="471" t="s">
        <v>365</v>
      </c>
      <c r="D163" s="471"/>
      <c r="E163" s="471"/>
      <c r="F163" s="193">
        <f>SUM(F162:F162)</f>
        <v>0</v>
      </c>
      <c r="G163" s="563"/>
      <c r="K163" s="150"/>
    </row>
    <row r="164" spans="2:11" ht="15.75" thickBot="1">
      <c r="B164" s="574">
        <v>43465</v>
      </c>
      <c r="C164" s="575" t="s">
        <v>2</v>
      </c>
      <c r="D164" s="575"/>
      <c r="E164" s="575"/>
      <c r="F164" s="576">
        <f>F159+F161+F163</f>
        <v>48.66</v>
      </c>
      <c r="G164" s="150"/>
      <c r="H164">
        <v>926</v>
      </c>
      <c r="K164" s="150"/>
    </row>
    <row r="165" spans="1:11" ht="15">
      <c r="A165" s="121"/>
      <c r="B165" s="665"/>
      <c r="C165" s="666" t="s">
        <v>424</v>
      </c>
      <c r="D165" s="666"/>
      <c r="E165" s="667"/>
      <c r="F165" s="507"/>
      <c r="G165" s="150"/>
      <c r="H165" s="121"/>
      <c r="I165" s="121"/>
      <c r="J165" s="121"/>
      <c r="K165" s="150"/>
    </row>
    <row r="166" spans="1:11" ht="15">
      <c r="A166" s="121"/>
      <c r="B166" s="437"/>
      <c r="C166" s="191"/>
      <c r="D166" s="191"/>
      <c r="E166" s="186"/>
      <c r="F166" s="240"/>
      <c r="G166" s="150"/>
      <c r="H166" s="121"/>
      <c r="I166" s="121"/>
      <c r="J166" s="121"/>
      <c r="K166" s="150"/>
    </row>
    <row r="167" spans="1:11" ht="15.75" thickBot="1">
      <c r="A167" s="121"/>
      <c r="B167" s="668"/>
      <c r="C167" s="669" t="s">
        <v>425</v>
      </c>
      <c r="D167" s="669"/>
      <c r="E167" s="670"/>
      <c r="F167" s="671">
        <f>SUM(F165:F166)</f>
        <v>0</v>
      </c>
      <c r="G167" s="150"/>
      <c r="H167" s="121"/>
      <c r="I167" s="121"/>
      <c r="J167" s="121"/>
      <c r="K167" s="150"/>
    </row>
    <row r="168" spans="1:11" ht="15">
      <c r="A168" s="121"/>
      <c r="B168" s="665"/>
      <c r="C168" s="666" t="s">
        <v>426</v>
      </c>
      <c r="D168" s="666"/>
      <c r="E168" s="667"/>
      <c r="F168" s="507"/>
      <c r="G168" s="150"/>
      <c r="H168" s="121"/>
      <c r="I168" s="121"/>
      <c r="J168" s="121"/>
      <c r="K168" s="150"/>
    </row>
    <row r="169" spans="1:11" ht="15">
      <c r="A169" s="121"/>
      <c r="B169" s="437"/>
      <c r="C169" s="191"/>
      <c r="D169" s="191"/>
      <c r="E169" s="186"/>
      <c r="F169" s="240"/>
      <c r="G169" s="150"/>
      <c r="H169" s="121"/>
      <c r="I169" s="121"/>
      <c r="J169" s="121"/>
      <c r="K169" s="150"/>
    </row>
    <row r="170" spans="1:11" ht="15.75" thickBot="1">
      <c r="A170" s="121"/>
      <c r="B170" s="668"/>
      <c r="C170" s="669" t="s">
        <v>427</v>
      </c>
      <c r="D170" s="669"/>
      <c r="E170" s="670"/>
      <c r="F170" s="671">
        <f>SUM(F168:F169)</f>
        <v>0</v>
      </c>
      <c r="G170" s="150"/>
      <c r="H170" s="121"/>
      <c r="I170" s="121"/>
      <c r="J170" s="121"/>
      <c r="K170" s="150"/>
    </row>
    <row r="171" spans="1:11" ht="15.75" thickBot="1">
      <c r="A171" s="121"/>
      <c r="B171" s="111">
        <f>B2</f>
        <v>43830</v>
      </c>
      <c r="C171" s="105" t="s">
        <v>2</v>
      </c>
      <c r="D171" s="105"/>
      <c r="E171" s="572"/>
      <c r="F171" s="112">
        <f>F164+F167+F170</f>
        <v>48.66</v>
      </c>
      <c r="G171" s="150"/>
      <c r="H171" s="121"/>
      <c r="I171" s="121"/>
      <c r="J171" s="121"/>
      <c r="K171" s="150"/>
    </row>
    <row r="172" spans="1:11" ht="15.75" thickBot="1">
      <c r="A172" s="121"/>
      <c r="B172" s="422"/>
      <c r="C172" s="422"/>
      <c r="D172" s="422"/>
      <c r="E172" s="422"/>
      <c r="F172" s="423"/>
      <c r="G172" s="150"/>
      <c r="H172" s="121"/>
      <c r="I172" s="121"/>
      <c r="J172" s="121"/>
      <c r="K172" s="150"/>
    </row>
    <row r="173" spans="2:11" ht="15">
      <c r="B173" s="577"/>
      <c r="C173" s="177"/>
      <c r="D173" s="178"/>
      <c r="E173" s="178" t="s">
        <v>366</v>
      </c>
      <c r="F173" s="179"/>
      <c r="G173" s="150"/>
      <c r="K173" s="150"/>
    </row>
    <row r="174" spans="2:11" ht="15.75" thickBot="1">
      <c r="B174" s="163"/>
      <c r="C174" s="664" t="s">
        <v>423</v>
      </c>
      <c r="D174" s="664"/>
      <c r="E174" s="664"/>
      <c r="F174" s="199"/>
      <c r="G174" s="150"/>
      <c r="H174" s="401"/>
      <c r="I174" s="235"/>
      <c r="J174" s="235"/>
      <c r="K174" s="224"/>
    </row>
    <row r="175" spans="2:11" ht="13.5" thickBot="1">
      <c r="B175" s="24"/>
      <c r="C175" s="24"/>
      <c r="D175" s="24"/>
      <c r="E175" s="24"/>
      <c r="F175" s="24"/>
      <c r="G175" s="150"/>
      <c r="H175" s="401"/>
      <c r="I175" s="235"/>
      <c r="J175" s="235"/>
      <c r="K175" s="235"/>
    </row>
    <row r="176" spans="2:11" ht="15">
      <c r="B176" s="255" t="s">
        <v>122</v>
      </c>
      <c r="C176" s="203"/>
      <c r="D176" s="203"/>
      <c r="E176" s="447" t="s">
        <v>119</v>
      </c>
      <c r="F176" s="444"/>
      <c r="G176" s="150"/>
      <c r="H176" s="401"/>
      <c r="I176" s="235"/>
      <c r="J176" s="235"/>
      <c r="K176" s="230"/>
    </row>
    <row r="177" spans="2:11" ht="15">
      <c r="B177" s="119">
        <v>43100</v>
      </c>
      <c r="C177" s="262" t="s">
        <v>2</v>
      </c>
      <c r="D177" s="262"/>
      <c r="E177" s="262"/>
      <c r="F177" s="173">
        <v>1376.33</v>
      </c>
      <c r="G177" s="194"/>
      <c r="H177" s="235" t="e">
        <f>#REF!+#REF!</f>
        <v>#REF!</v>
      </c>
      <c r="I177" s="150"/>
      <c r="J177" s="122"/>
      <c r="K177" s="230"/>
    </row>
    <row r="178" spans="2:11" ht="15">
      <c r="B178" s="427"/>
      <c r="C178" s="471" t="s">
        <v>362</v>
      </c>
      <c r="D178" s="471"/>
      <c r="E178" s="471"/>
      <c r="F178" s="193"/>
      <c r="G178" s="194"/>
      <c r="H178" s="150"/>
      <c r="I178" s="150"/>
      <c r="J178" s="122"/>
      <c r="K178" s="230"/>
    </row>
    <row r="179" spans="2:11" ht="15">
      <c r="B179" s="427">
        <v>43109</v>
      </c>
      <c r="C179" s="471" t="s">
        <v>367</v>
      </c>
      <c r="D179" s="471"/>
      <c r="E179" s="471"/>
      <c r="F179" s="193">
        <v>-945.01</v>
      </c>
      <c r="G179" s="194"/>
      <c r="H179" s="224" t="s">
        <v>379</v>
      </c>
      <c r="I179" s="150"/>
      <c r="J179" s="150"/>
      <c r="K179" s="230"/>
    </row>
    <row r="180" spans="2:11" ht="15">
      <c r="B180" s="427">
        <v>43122</v>
      </c>
      <c r="C180" s="471" t="s">
        <v>371</v>
      </c>
      <c r="D180" s="471"/>
      <c r="E180" s="471"/>
      <c r="F180" s="193">
        <v>-199.65</v>
      </c>
      <c r="G180" s="194"/>
      <c r="H180" s="224" t="s">
        <v>377</v>
      </c>
      <c r="I180" s="150"/>
      <c r="J180" s="150"/>
      <c r="K180" s="230"/>
    </row>
    <row r="181" spans="2:11" ht="15">
      <c r="B181" s="427">
        <v>43166</v>
      </c>
      <c r="C181" s="471" t="s">
        <v>368</v>
      </c>
      <c r="D181" s="471"/>
      <c r="E181" s="471"/>
      <c r="F181" s="193">
        <v>-1564.6</v>
      </c>
      <c r="G181" s="194"/>
      <c r="H181" s="224" t="s">
        <v>378</v>
      </c>
      <c r="I181" s="150"/>
      <c r="J181" s="150"/>
      <c r="K181" s="230"/>
    </row>
    <row r="182" spans="2:11" ht="15">
      <c r="B182" s="427">
        <v>43234</v>
      </c>
      <c r="C182" s="471" t="s">
        <v>382</v>
      </c>
      <c r="D182" s="471"/>
      <c r="E182" s="471"/>
      <c r="F182" s="193">
        <v>-504.56</v>
      </c>
      <c r="G182" s="194"/>
      <c r="H182" s="224" t="s">
        <v>378</v>
      </c>
      <c r="I182" s="150"/>
      <c r="J182" s="150"/>
      <c r="K182" s="230"/>
    </row>
    <row r="183" spans="2:11" ht="15">
      <c r="B183" s="427">
        <v>43286</v>
      </c>
      <c r="C183" s="471" t="s">
        <v>387</v>
      </c>
      <c r="D183" s="471"/>
      <c r="E183" s="471"/>
      <c r="F183" s="193">
        <v>-693.87</v>
      </c>
      <c r="G183" s="194"/>
      <c r="H183" s="224" t="s">
        <v>404</v>
      </c>
      <c r="I183" s="150"/>
      <c r="J183" s="150"/>
      <c r="K183" s="230"/>
    </row>
    <row r="184" spans="2:11" ht="15">
      <c r="B184" s="427">
        <v>43382</v>
      </c>
      <c r="C184" s="471" t="s">
        <v>398</v>
      </c>
      <c r="D184" s="471"/>
      <c r="E184" s="471"/>
      <c r="F184" s="193">
        <v>-250</v>
      </c>
      <c r="G184" s="194"/>
      <c r="H184" s="224" t="s">
        <v>377</v>
      </c>
      <c r="I184" s="150"/>
      <c r="J184" s="150"/>
      <c r="K184" s="230"/>
    </row>
    <row r="185" spans="2:11" ht="15">
      <c r="B185" s="427">
        <v>43443</v>
      </c>
      <c r="C185" s="471" t="s">
        <v>405</v>
      </c>
      <c r="D185" s="471"/>
      <c r="E185" s="471"/>
      <c r="F185" s="193">
        <f>-5799.99</f>
        <v>-5799.99</v>
      </c>
      <c r="G185" s="194"/>
      <c r="H185" s="224" t="s">
        <v>379</v>
      </c>
      <c r="I185" s="150"/>
      <c r="J185" s="150"/>
      <c r="K185" s="230"/>
    </row>
    <row r="186" spans="2:11" ht="15">
      <c r="B186" s="427">
        <v>43447</v>
      </c>
      <c r="C186" s="471" t="s">
        <v>406</v>
      </c>
      <c r="D186" s="471"/>
      <c r="E186" s="471"/>
      <c r="F186" s="193">
        <v>-3000</v>
      </c>
      <c r="G186" s="194"/>
      <c r="H186" s="224" t="s">
        <v>467</v>
      </c>
      <c r="I186" s="150"/>
      <c r="J186" s="150"/>
      <c r="K186" s="230"/>
    </row>
    <row r="187" spans="2:11" ht="15">
      <c r="B187" s="427"/>
      <c r="C187" s="471"/>
      <c r="D187" s="471"/>
      <c r="E187" s="471"/>
      <c r="F187" s="193"/>
      <c r="G187" s="194"/>
      <c r="H187" s="150"/>
      <c r="I187" s="150"/>
      <c r="J187" s="150"/>
      <c r="K187" s="230"/>
    </row>
    <row r="188" spans="2:11" ht="15.75" thickBot="1">
      <c r="B188" s="427"/>
      <c r="C188" s="471" t="s">
        <v>364</v>
      </c>
      <c r="D188" s="471"/>
      <c r="E188" s="471"/>
      <c r="F188" s="193">
        <f>SUM(F178:F187)</f>
        <v>-12957.68</v>
      </c>
      <c r="G188" s="194"/>
      <c r="H188" s="150"/>
      <c r="I188" s="150"/>
      <c r="J188" s="224" t="s">
        <v>384</v>
      </c>
      <c r="K188" s="230"/>
    </row>
    <row r="189" spans="2:11" ht="15">
      <c r="B189" s="596"/>
      <c r="C189" s="597" t="s">
        <v>484</v>
      </c>
      <c r="D189" s="597"/>
      <c r="E189" s="597"/>
      <c r="F189" s="598"/>
      <c r="G189" s="194"/>
      <c r="H189" s="150"/>
      <c r="I189" s="150"/>
      <c r="J189" s="235" t="e">
        <f>F193+#REF!+#REF!</f>
        <v>#REF!</v>
      </c>
      <c r="K189" s="230" t="s">
        <v>385</v>
      </c>
    </row>
    <row r="190" spans="2:11" ht="15">
      <c r="B190" s="427">
        <v>42759</v>
      </c>
      <c r="C190" s="471" t="s">
        <v>370</v>
      </c>
      <c r="D190" s="471"/>
      <c r="E190" s="471"/>
      <c r="F190" s="193">
        <v>7120</v>
      </c>
      <c r="G190" s="194"/>
      <c r="H190" s="224" t="s">
        <v>376</v>
      </c>
      <c r="I190" s="150"/>
      <c r="J190" s="235" t="e">
        <f>F188+#REF!</f>
        <v>#REF!</v>
      </c>
      <c r="K190" s="230" t="s">
        <v>386</v>
      </c>
    </row>
    <row r="191" spans="2:11" ht="15">
      <c r="B191" s="427">
        <v>43442</v>
      </c>
      <c r="C191" s="427" t="s">
        <v>402</v>
      </c>
      <c r="D191" s="427"/>
      <c r="E191" s="427"/>
      <c r="F191" s="607">
        <v>232.6</v>
      </c>
      <c r="G191" s="194"/>
      <c r="H191" s="224" t="s">
        <v>376</v>
      </c>
      <c r="I191" s="150"/>
      <c r="J191" s="235"/>
      <c r="K191" s="230"/>
    </row>
    <row r="192" spans="2:11" ht="15">
      <c r="B192" s="427">
        <v>43442</v>
      </c>
      <c r="C192" s="471" t="s">
        <v>403</v>
      </c>
      <c r="D192" s="471"/>
      <c r="E192" s="471"/>
      <c r="F192" s="193">
        <v>598.17</v>
      </c>
      <c r="G192" s="194"/>
      <c r="H192" s="224" t="s">
        <v>376</v>
      </c>
      <c r="I192" s="150"/>
      <c r="J192" s="235"/>
      <c r="K192" s="230"/>
    </row>
    <row r="193" spans="2:11" ht="15.75" thickBot="1">
      <c r="B193" s="599"/>
      <c r="C193" s="600" t="s">
        <v>365</v>
      </c>
      <c r="D193" s="600"/>
      <c r="E193" s="600"/>
      <c r="F193" s="85">
        <f>SUM(F189:F192)</f>
        <v>7950.77</v>
      </c>
      <c r="G193" s="194"/>
      <c r="H193" s="150"/>
      <c r="I193" s="150"/>
      <c r="J193" s="150"/>
      <c r="K193" s="230"/>
    </row>
    <row r="194" spans="2:11" ht="15.75" thickBot="1">
      <c r="B194" s="574">
        <f>B2</f>
        <v>43830</v>
      </c>
      <c r="C194" s="575" t="s">
        <v>2</v>
      </c>
      <c r="D194" s="575"/>
      <c r="E194" s="575"/>
      <c r="F194" s="576">
        <f>F177+F188+F193</f>
        <v>-3630.58</v>
      </c>
      <c r="G194" s="194"/>
      <c r="H194" s="235"/>
      <c r="I194" s="150"/>
      <c r="J194" s="150"/>
      <c r="K194" s="230"/>
    </row>
    <row r="195" spans="1:11" ht="15">
      <c r="A195" s="150"/>
      <c r="B195" s="665"/>
      <c r="C195" s="666" t="s">
        <v>424</v>
      </c>
      <c r="D195" s="666"/>
      <c r="E195" s="667"/>
      <c r="F195" s="507"/>
      <c r="G195" s="150"/>
      <c r="H195" s="150"/>
      <c r="I195" s="235">
        <f>F194+F199</f>
        <v>-5000</v>
      </c>
      <c r="J195" s="150"/>
      <c r="K195" s="230"/>
    </row>
    <row r="196" spans="1:11" ht="15">
      <c r="A196" s="150"/>
      <c r="B196" s="437">
        <v>43481</v>
      </c>
      <c r="C196" s="191" t="s">
        <v>429</v>
      </c>
      <c r="D196" s="191"/>
      <c r="E196" s="186"/>
      <c r="F196" s="240">
        <v>-1000</v>
      </c>
      <c r="G196" s="150"/>
      <c r="H196" s="705" t="s">
        <v>431</v>
      </c>
      <c r="I196" s="150"/>
      <c r="J196" s="150"/>
      <c r="K196" s="230"/>
    </row>
    <row r="197" spans="1:11" ht="15">
      <c r="A197" s="150"/>
      <c r="B197" s="437">
        <v>43773</v>
      </c>
      <c r="C197" s="191" t="s">
        <v>503</v>
      </c>
      <c r="D197" s="191"/>
      <c r="E197" s="186"/>
      <c r="F197" s="240">
        <v>-369.42</v>
      </c>
      <c r="G197" s="150"/>
      <c r="H197" s="708" t="s">
        <v>504</v>
      </c>
      <c r="I197" s="705" t="s">
        <v>509</v>
      </c>
      <c r="J197" s="150"/>
      <c r="K197" s="230"/>
    </row>
    <row r="198" spans="1:11" ht="15">
      <c r="A198" s="150"/>
      <c r="B198" s="437"/>
      <c r="C198" s="191"/>
      <c r="D198" s="191"/>
      <c r="E198" s="186"/>
      <c r="F198" s="240"/>
      <c r="G198" s="150"/>
      <c r="H198" s="224" t="s">
        <v>505</v>
      </c>
      <c r="I198" s="150"/>
      <c r="J198" s="150"/>
      <c r="K198" s="230"/>
    </row>
    <row r="199" spans="1:11" ht="15.75" thickBot="1">
      <c r="A199" s="150"/>
      <c r="B199" s="668"/>
      <c r="C199" s="669" t="s">
        <v>425</v>
      </c>
      <c r="D199" s="669"/>
      <c r="E199" s="670"/>
      <c r="F199" s="671">
        <f>SUM(F195:F198)</f>
        <v>-1369.42</v>
      </c>
      <c r="G199" s="150"/>
      <c r="H199" s="150"/>
      <c r="I199" s="150"/>
      <c r="J199" s="150"/>
      <c r="K199" s="230"/>
    </row>
    <row r="200" spans="1:11" ht="15">
      <c r="A200" s="150"/>
      <c r="B200" s="665"/>
      <c r="C200" s="666" t="s">
        <v>483</v>
      </c>
      <c r="D200" s="666"/>
      <c r="E200" s="667"/>
      <c r="F200" s="507"/>
      <c r="G200" s="150"/>
      <c r="H200" s="150"/>
      <c r="I200" s="150"/>
      <c r="J200" s="150"/>
      <c r="K200" s="230"/>
    </row>
    <row r="201" spans="1:11" ht="15">
      <c r="A201" s="150"/>
      <c r="B201" s="437">
        <v>43481</v>
      </c>
      <c r="C201" s="191" t="s">
        <v>428</v>
      </c>
      <c r="D201" s="191"/>
      <c r="E201" s="186"/>
      <c r="F201" s="240">
        <v>1000</v>
      </c>
      <c r="G201" s="150"/>
      <c r="H201" s="705" t="s">
        <v>430</v>
      </c>
      <c r="I201" s="150"/>
      <c r="J201" s="150"/>
      <c r="K201" s="230"/>
    </row>
    <row r="202" spans="1:11" ht="15">
      <c r="A202" s="150"/>
      <c r="B202" s="437">
        <v>43483</v>
      </c>
      <c r="C202" s="191" t="s">
        <v>432</v>
      </c>
      <c r="D202" s="191"/>
      <c r="E202" s="186"/>
      <c r="F202" s="240">
        <v>3000</v>
      </c>
      <c r="G202" s="150"/>
      <c r="H202" s="705" t="s">
        <v>376</v>
      </c>
      <c r="I202" s="150"/>
      <c r="J202" s="150"/>
      <c r="K202" s="230"/>
    </row>
    <row r="203" spans="1:11" ht="15">
      <c r="A203" s="150"/>
      <c r="B203" s="437">
        <v>43772</v>
      </c>
      <c r="C203" s="191" t="s">
        <v>468</v>
      </c>
      <c r="D203" s="191"/>
      <c r="E203" s="186"/>
      <c r="F203" s="707">
        <v>1000</v>
      </c>
      <c r="G203" s="150"/>
      <c r="H203" s="705" t="s">
        <v>487</v>
      </c>
      <c r="I203" s="150"/>
      <c r="J203" s="150"/>
      <c r="K203" s="230"/>
    </row>
    <row r="204" spans="1:11" ht="15.75" thickBot="1">
      <c r="A204" s="150"/>
      <c r="B204" s="668"/>
      <c r="C204" s="669" t="s">
        <v>427</v>
      </c>
      <c r="D204" s="669"/>
      <c r="E204" s="670"/>
      <c r="F204" s="671">
        <f>SUM(F200:F203)</f>
        <v>5000</v>
      </c>
      <c r="G204" s="150"/>
      <c r="H204" s="150"/>
      <c r="I204" s="150"/>
      <c r="J204" s="150"/>
      <c r="K204" s="230"/>
    </row>
    <row r="205" spans="1:11" ht="15.75" thickBot="1">
      <c r="A205" s="150"/>
      <c r="B205" s="111">
        <f>B2</f>
        <v>43830</v>
      </c>
      <c r="C205" s="105" t="s">
        <v>2</v>
      </c>
      <c r="D205" s="105"/>
      <c r="E205" s="572"/>
      <c r="F205" s="112">
        <f>F194+F199+F204</f>
        <v>0</v>
      </c>
      <c r="G205" s="150"/>
      <c r="H205" s="150"/>
      <c r="I205" s="150"/>
      <c r="J205" s="150"/>
      <c r="K205" s="230"/>
    </row>
    <row r="206" spans="1:11" ht="15">
      <c r="A206" s="150"/>
      <c r="B206" s="703"/>
      <c r="C206" s="664" t="s">
        <v>501</v>
      </c>
      <c r="D206" s="664"/>
      <c r="E206" s="611"/>
      <c r="F206" s="611"/>
      <c r="G206" s="150"/>
      <c r="H206" s="150"/>
      <c r="I206" s="150"/>
      <c r="J206" s="150"/>
      <c r="K206" s="230"/>
    </row>
    <row r="207" spans="1:11" ht="15.75" thickBot="1">
      <c r="A207" s="150"/>
      <c r="B207" s="228"/>
      <c r="C207" s="229"/>
      <c r="D207" s="229"/>
      <c r="E207" s="227"/>
      <c r="F207" s="227"/>
      <c r="G207" s="150"/>
      <c r="H207" s="150"/>
      <c r="I207" s="150"/>
      <c r="J207" s="150"/>
      <c r="K207" s="230"/>
    </row>
    <row r="208" spans="1:11" ht="15">
      <c r="A208" s="150"/>
      <c r="B208" s="255" t="s">
        <v>226</v>
      </c>
      <c r="C208" s="203"/>
      <c r="D208" s="203"/>
      <c r="E208" s="447" t="s">
        <v>141</v>
      </c>
      <c r="F208" s="444"/>
      <c r="G208" s="150"/>
      <c r="H208" s="150"/>
      <c r="I208" s="150"/>
      <c r="J208" s="150"/>
      <c r="K208" s="230"/>
    </row>
    <row r="209" spans="2:11" ht="15">
      <c r="B209" s="119">
        <f>B177</f>
        <v>43100</v>
      </c>
      <c r="C209" s="262" t="s">
        <v>2</v>
      </c>
      <c r="D209" s="130"/>
      <c r="E209" s="131"/>
      <c r="F209" s="173">
        <v>926</v>
      </c>
      <c r="G209" s="564"/>
      <c r="H209" s="235" t="e">
        <f>#REF!+#REF!</f>
        <v>#REF!</v>
      </c>
      <c r="I209" s="150"/>
      <c r="J209" s="150"/>
      <c r="K209" s="150"/>
    </row>
    <row r="210" spans="2:11" ht="15">
      <c r="B210" s="427"/>
      <c r="C210" s="471" t="s">
        <v>362</v>
      </c>
      <c r="D210" s="471"/>
      <c r="E210" s="471"/>
      <c r="F210" s="193"/>
      <c r="G210" s="564"/>
      <c r="H210" s="150"/>
      <c r="I210" s="150"/>
      <c r="J210" s="150"/>
      <c r="K210" s="150"/>
    </row>
    <row r="211" spans="2:11" ht="15">
      <c r="B211" s="427"/>
      <c r="C211" s="471" t="s">
        <v>364</v>
      </c>
      <c r="D211" s="471"/>
      <c r="E211" s="471"/>
      <c r="F211" s="193">
        <f>SUM(F210:F210)</f>
        <v>0</v>
      </c>
      <c r="G211" s="564"/>
      <c r="H211" s="150"/>
      <c r="I211" s="150"/>
      <c r="J211" s="235"/>
      <c r="K211" s="150"/>
    </row>
    <row r="212" spans="2:11" ht="15">
      <c r="B212" s="427"/>
      <c r="C212" s="471" t="s">
        <v>363</v>
      </c>
      <c r="D212" s="471"/>
      <c r="E212" s="471"/>
      <c r="F212" s="193"/>
      <c r="G212" s="564"/>
      <c r="H212" s="150"/>
      <c r="I212" s="150"/>
      <c r="J212" s="235"/>
      <c r="K212" s="150"/>
    </row>
    <row r="213" spans="2:11" ht="15.75" thickBot="1">
      <c r="B213" s="427"/>
      <c r="C213" s="471" t="s">
        <v>365</v>
      </c>
      <c r="D213" s="471"/>
      <c r="E213" s="471"/>
      <c r="F213" s="193">
        <f>SUM(F212:F212)</f>
        <v>0</v>
      </c>
      <c r="G213" s="564"/>
      <c r="H213" s="150"/>
      <c r="I213" s="150"/>
      <c r="J213" s="235"/>
      <c r="K213" s="150"/>
    </row>
    <row r="214" spans="2:11" ht="15.75" thickBot="1">
      <c r="B214" s="574">
        <v>43465</v>
      </c>
      <c r="C214" s="575" t="s">
        <v>2</v>
      </c>
      <c r="D214" s="575"/>
      <c r="E214" s="575"/>
      <c r="F214" s="576">
        <f>F209+F211+F213</f>
        <v>926</v>
      </c>
      <c r="G214" s="564"/>
      <c r="H214" s="150"/>
      <c r="I214" s="150"/>
      <c r="J214" s="235"/>
      <c r="K214" s="150"/>
    </row>
    <row r="215" spans="2:11" ht="15">
      <c r="B215" s="665"/>
      <c r="C215" s="666" t="s">
        <v>424</v>
      </c>
      <c r="D215" s="666"/>
      <c r="E215" s="667"/>
      <c r="F215" s="507"/>
      <c r="H215" s="150"/>
      <c r="I215" s="150"/>
      <c r="J215" s="235"/>
      <c r="K215" s="150"/>
    </row>
    <row r="216" spans="2:11" ht="15">
      <c r="B216" s="437"/>
      <c r="C216" s="191"/>
      <c r="D216" s="191"/>
      <c r="E216" s="186"/>
      <c r="F216" s="240"/>
      <c r="H216" s="150"/>
      <c r="I216" s="150"/>
      <c r="J216" s="235"/>
      <c r="K216" s="150"/>
    </row>
    <row r="217" spans="2:11" ht="15.75" thickBot="1">
      <c r="B217" s="668"/>
      <c r="C217" s="669" t="s">
        <v>425</v>
      </c>
      <c r="D217" s="669"/>
      <c r="E217" s="670"/>
      <c r="F217" s="671">
        <f>SUM(F215:F216)</f>
        <v>0</v>
      </c>
      <c r="H217" s="150"/>
      <c r="I217" s="150"/>
      <c r="J217" s="150"/>
      <c r="K217" s="150"/>
    </row>
    <row r="218" spans="2:11" ht="15">
      <c r="B218" s="665"/>
      <c r="C218" s="666" t="s">
        <v>485</v>
      </c>
      <c r="D218" s="666"/>
      <c r="E218" s="667"/>
      <c r="F218" s="507"/>
      <c r="H218" s="150"/>
      <c r="I218" s="150"/>
      <c r="J218" s="235"/>
      <c r="K218" s="150"/>
    </row>
    <row r="219" spans="2:11" ht="15">
      <c r="B219" s="437">
        <v>43634</v>
      </c>
      <c r="C219" s="191" t="s">
        <v>469</v>
      </c>
      <c r="D219" s="191"/>
      <c r="E219" s="186"/>
      <c r="F219" s="240">
        <v>100</v>
      </c>
      <c r="G219" t="s">
        <v>472</v>
      </c>
      <c r="H219" s="705" t="s">
        <v>457</v>
      </c>
      <c r="I219" s="150"/>
      <c r="J219" s="150"/>
      <c r="K219" s="150"/>
    </row>
    <row r="220" spans="2:11" ht="15">
      <c r="B220" s="437">
        <v>43617</v>
      </c>
      <c r="C220" s="191" t="s">
        <v>470</v>
      </c>
      <c r="D220" s="191"/>
      <c r="E220" s="186"/>
      <c r="F220" s="240">
        <v>1000</v>
      </c>
      <c r="G220" t="s">
        <v>472</v>
      </c>
      <c r="H220" s="705" t="s">
        <v>457</v>
      </c>
      <c r="I220" s="150"/>
      <c r="J220" s="150"/>
      <c r="K220" s="150"/>
    </row>
    <row r="221" spans="2:11" ht="15">
      <c r="B221" s="437"/>
      <c r="C221" s="191"/>
      <c r="D221" s="191"/>
      <c r="E221" s="186"/>
      <c r="F221" s="240"/>
      <c r="H221" s="150"/>
      <c r="I221" s="150"/>
      <c r="J221" s="150"/>
      <c r="K221" s="150"/>
    </row>
    <row r="222" spans="2:11" ht="15.75" thickBot="1">
      <c r="B222" s="668"/>
      <c r="C222" s="669" t="s">
        <v>427</v>
      </c>
      <c r="D222" s="669"/>
      <c r="E222" s="670"/>
      <c r="F222" s="671">
        <f>SUM(F218:F221)</f>
        <v>1100</v>
      </c>
      <c r="H222" s="150"/>
      <c r="I222" s="150"/>
      <c r="J222" s="150"/>
      <c r="K222" s="150"/>
    </row>
    <row r="223" spans="2:11" ht="15.75" thickBot="1">
      <c r="B223" s="111">
        <f>B2</f>
        <v>43830</v>
      </c>
      <c r="C223" s="105" t="s">
        <v>2</v>
      </c>
      <c r="D223" s="105"/>
      <c r="E223" s="572"/>
      <c r="F223" s="112">
        <f>F214+F217+F222</f>
        <v>2026</v>
      </c>
      <c r="H223" s="150"/>
      <c r="I223" s="150"/>
      <c r="J223" s="150"/>
      <c r="K223" s="150"/>
    </row>
    <row r="224" spans="8:11" ht="12.75">
      <c r="H224" s="150"/>
      <c r="I224" s="150"/>
      <c r="J224" s="150"/>
      <c r="K224" s="150"/>
    </row>
    <row r="225" spans="9:11" ht="13.5" thickBot="1">
      <c r="I225" s="150"/>
      <c r="J225" s="150"/>
      <c r="K225" s="150"/>
    </row>
    <row r="226" spans="2:11" ht="15">
      <c r="B226" s="665" t="s">
        <v>347</v>
      </c>
      <c r="C226" s="666" t="s">
        <v>426</v>
      </c>
      <c r="D226" s="666"/>
      <c r="E226" s="701" t="s">
        <v>486</v>
      </c>
      <c r="F226" s="507"/>
      <c r="I226" s="150"/>
      <c r="J226" s="150"/>
      <c r="K226" s="150"/>
    </row>
    <row r="227" spans="2:11" ht="15">
      <c r="B227" s="437">
        <v>43727</v>
      </c>
      <c r="C227" s="191" t="s">
        <v>475</v>
      </c>
      <c r="D227" s="191"/>
      <c r="E227" s="186"/>
      <c r="F227" s="240">
        <v>0.97</v>
      </c>
      <c r="H227" s="705" t="s">
        <v>457</v>
      </c>
      <c r="I227" s="150"/>
      <c r="J227" s="150"/>
      <c r="K227" s="150"/>
    </row>
    <row r="228" spans="2:11" ht="15">
      <c r="B228" s="437">
        <v>43731</v>
      </c>
      <c r="C228" s="191" t="s">
        <v>475</v>
      </c>
      <c r="D228" s="191"/>
      <c r="E228" s="186"/>
      <c r="F228" s="240">
        <v>0.97</v>
      </c>
      <c r="H228" s="705" t="s">
        <v>457</v>
      </c>
      <c r="I228" s="150"/>
      <c r="J228" s="150"/>
      <c r="K228" s="150"/>
    </row>
    <row r="229" spans="2:11" ht="15">
      <c r="B229" s="437">
        <v>43761</v>
      </c>
      <c r="C229" s="191" t="s">
        <v>475</v>
      </c>
      <c r="D229" s="191"/>
      <c r="E229" s="186"/>
      <c r="F229" s="240">
        <v>10.69</v>
      </c>
      <c r="H229" s="705" t="s">
        <v>457</v>
      </c>
      <c r="I229" s="150"/>
      <c r="J229" s="150"/>
      <c r="K229" s="150"/>
    </row>
    <row r="230" spans="2:11" ht="15">
      <c r="B230" s="437">
        <v>43762</v>
      </c>
      <c r="C230" s="191" t="s">
        <v>475</v>
      </c>
      <c r="D230" s="191"/>
      <c r="E230" s="186"/>
      <c r="F230" s="240">
        <v>43.74</v>
      </c>
      <c r="H230" s="705" t="s">
        <v>457</v>
      </c>
      <c r="I230" s="150"/>
      <c r="J230" s="150"/>
      <c r="K230" s="150"/>
    </row>
    <row r="231" spans="2:11" ht="15">
      <c r="B231" s="437">
        <v>43766</v>
      </c>
      <c r="C231" s="191" t="s">
        <v>475</v>
      </c>
      <c r="D231" s="191"/>
      <c r="E231" s="186"/>
      <c r="F231" s="240">
        <v>18.48</v>
      </c>
      <c r="H231" s="705" t="s">
        <v>457</v>
      </c>
      <c r="I231" s="150"/>
      <c r="J231" s="150"/>
      <c r="K231" s="150"/>
    </row>
    <row r="232" spans="2:11" ht="15">
      <c r="B232" s="437">
        <v>43768</v>
      </c>
      <c r="C232" s="191" t="s">
        <v>475</v>
      </c>
      <c r="D232" s="191"/>
      <c r="E232" s="186"/>
      <c r="F232" s="240">
        <v>155.6</v>
      </c>
      <c r="H232" s="705" t="s">
        <v>457</v>
      </c>
      <c r="I232" s="150"/>
      <c r="J232" s="150"/>
      <c r="K232" s="150"/>
    </row>
    <row r="233" spans="2:11" ht="15">
      <c r="B233" s="437" t="s">
        <v>508</v>
      </c>
      <c r="C233" s="191"/>
      <c r="D233" s="191"/>
      <c r="E233" s="186"/>
      <c r="F233" s="240">
        <v>48.61</v>
      </c>
      <c r="H233" s="705" t="s">
        <v>457</v>
      </c>
      <c r="I233" s="150"/>
      <c r="J233" s="150"/>
      <c r="K233" s="150"/>
    </row>
    <row r="234" spans="2:11" ht="15.75" thickBot="1">
      <c r="B234" s="668"/>
      <c r="C234" s="669" t="s">
        <v>427</v>
      </c>
      <c r="D234" s="669"/>
      <c r="E234" s="670"/>
      <c r="F234" s="671">
        <f>SUM(F226:F233)</f>
        <v>279.06</v>
      </c>
      <c r="I234" s="150"/>
      <c r="J234" s="150"/>
      <c r="K234" s="150"/>
    </row>
    <row r="235" spans="2:11" ht="15">
      <c r="B235" s="665"/>
      <c r="C235" s="666" t="s">
        <v>424</v>
      </c>
      <c r="D235" s="666"/>
      <c r="E235" s="667"/>
      <c r="F235" s="507"/>
      <c r="I235" s="150"/>
      <c r="J235" s="150"/>
      <c r="K235" s="150"/>
    </row>
    <row r="236" spans="2:11" ht="15">
      <c r="B236" s="437">
        <v>43770</v>
      </c>
      <c r="C236" s="191" t="s">
        <v>478</v>
      </c>
      <c r="D236" s="191"/>
      <c r="E236" s="186"/>
      <c r="F236" s="240">
        <f>-230.45</f>
        <v>-230.45</v>
      </c>
      <c r="H236" s="705" t="s">
        <v>457</v>
      </c>
      <c r="I236" s="150"/>
      <c r="J236" s="150"/>
      <c r="K236" s="150"/>
    </row>
    <row r="237" spans="2:11" ht="15">
      <c r="B237" s="437">
        <v>43811</v>
      </c>
      <c r="C237" s="191" t="s">
        <v>478</v>
      </c>
      <c r="D237" s="191"/>
      <c r="E237" s="186"/>
      <c r="F237" s="240">
        <v>-48.61</v>
      </c>
      <c r="H237" s="705" t="s">
        <v>457</v>
      </c>
      <c r="I237" s="150"/>
      <c r="J237" s="150"/>
      <c r="K237" s="150"/>
    </row>
    <row r="238" spans="2:11" ht="15.75" thickBot="1">
      <c r="B238" s="668"/>
      <c r="C238" s="669" t="s">
        <v>479</v>
      </c>
      <c r="D238" s="669"/>
      <c r="E238" s="670"/>
      <c r="F238" s="671">
        <f>SUM(F236:F237)</f>
        <v>-279.06</v>
      </c>
      <c r="I238" s="150"/>
      <c r="J238" s="150"/>
      <c r="K238" s="150"/>
    </row>
    <row r="239" spans="2:6" s="121" customFormat="1" ht="15.75" thickBot="1">
      <c r="B239" s="111"/>
      <c r="C239" s="105" t="s">
        <v>480</v>
      </c>
      <c r="D239" s="699">
        <f>'31 dec 2019'!G13</f>
        <v>43830</v>
      </c>
      <c r="E239" s="572"/>
      <c r="F239" s="112">
        <f>F234+F238</f>
        <v>0</v>
      </c>
    </row>
    <row r="240" spans="2:6" s="121" customFormat="1" ht="15">
      <c r="B240" s="473"/>
      <c r="C240" s="149"/>
      <c r="D240" s="149"/>
      <c r="E240" s="698"/>
      <c r="F240" s="227"/>
    </row>
    <row r="241" spans="2:6" s="121" customFormat="1" ht="15.75" thickBot="1">
      <c r="B241" s="473"/>
      <c r="C241" s="149"/>
      <c r="D241" s="149"/>
      <c r="E241" s="698"/>
      <c r="F241" s="227"/>
    </row>
    <row r="242" spans="2:6" ht="15.75" thickBot="1">
      <c r="B242" s="255" t="s">
        <v>140</v>
      </c>
      <c r="C242" s="203"/>
      <c r="D242" s="203"/>
      <c r="E242" s="447" t="s">
        <v>243</v>
      </c>
      <c r="F242" s="444"/>
    </row>
    <row r="243" spans="2:6" ht="15.75" thickBot="1">
      <c r="B243" s="579">
        <v>43465</v>
      </c>
      <c r="C243" s="225"/>
      <c r="D243" s="225"/>
      <c r="E243" s="226"/>
      <c r="F243" s="576">
        <f>'jaarrek 2017 begr 2018 '!H8</f>
        <v>704.3300000000072</v>
      </c>
    </row>
    <row r="244" spans="2:6" ht="15">
      <c r="B244" s="242"/>
      <c r="C244" s="225"/>
      <c r="D244" s="225"/>
      <c r="E244" s="226"/>
      <c r="F244" s="405"/>
    </row>
    <row r="245" spans="2:6" ht="15">
      <c r="B245" s="406">
        <f>B2</f>
        <v>43830</v>
      </c>
      <c r="C245" s="241" t="s">
        <v>311</v>
      </c>
      <c r="D245" s="263"/>
      <c r="E245" s="248"/>
      <c r="F245" s="240">
        <f>'31 dec 2019'!G29</f>
        <v>704.330000000009</v>
      </c>
    </row>
    <row r="246" spans="2:6" ht="15.75" thickBot="1">
      <c r="B246" s="244"/>
      <c r="C246" s="245"/>
      <c r="D246" s="246"/>
      <c r="E246" s="246"/>
      <c r="F246" s="247"/>
    </row>
  </sheetData>
  <sheetProtection/>
  <printOptions/>
  <pageMargins left="0.7" right="0.7" top="0.75" bottom="0.75" header="0.3" footer="0.3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365"/>
  <sheetViews>
    <sheetView zoomScalePageLayoutView="0" workbookViewId="0" topLeftCell="A353">
      <selection activeCell="A182" sqref="A182:IV182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10" max="10" width="22.421875" style="0" customWidth="1"/>
    <col min="11" max="12" width="16.00390625" style="0" customWidth="1"/>
    <col min="13" max="13" width="15.7109375" style="0" customWidth="1"/>
  </cols>
  <sheetData>
    <row r="1" spans="2:14" ht="21">
      <c r="B1" s="171" t="s">
        <v>419</v>
      </c>
      <c r="G1" s="150"/>
      <c r="H1" s="150" t="s">
        <v>360</v>
      </c>
      <c r="K1" s="150"/>
      <c r="L1" s="150"/>
      <c r="M1" s="150"/>
      <c r="N1" s="150"/>
    </row>
    <row r="2" spans="2:14" ht="17.25">
      <c r="B2" s="287">
        <v>43465</v>
      </c>
      <c r="G2" s="150"/>
      <c r="H2" s="150"/>
      <c r="K2" s="150"/>
      <c r="L2" s="150"/>
      <c r="M2" s="150"/>
      <c r="N2" s="150"/>
    </row>
    <row r="3" spans="7:14" ht="12.75">
      <c r="G3" s="150"/>
      <c r="H3" s="150"/>
      <c r="K3" s="150"/>
      <c r="L3" s="150"/>
      <c r="M3" s="150"/>
      <c r="N3" s="150"/>
    </row>
    <row r="4" spans="7:14" ht="13.5" thickBot="1">
      <c r="G4" s="150"/>
      <c r="H4" s="150"/>
      <c r="K4" s="150"/>
      <c r="L4" s="150"/>
      <c r="M4" s="150"/>
      <c r="N4" s="150"/>
    </row>
    <row r="5" spans="2:14" ht="13.5" thickBot="1">
      <c r="B5" s="416" t="s">
        <v>130</v>
      </c>
      <c r="C5" s="417"/>
      <c r="D5" s="418"/>
      <c r="G5" s="150"/>
      <c r="H5" s="150"/>
      <c r="K5" s="150"/>
      <c r="L5" s="150"/>
      <c r="M5" s="150"/>
      <c r="N5" s="150"/>
    </row>
    <row r="6" spans="1:14" ht="15">
      <c r="A6" s="108"/>
      <c r="B6" s="255" t="s">
        <v>1</v>
      </c>
      <c r="C6" s="426"/>
      <c r="D6" s="426"/>
      <c r="E6" s="222" t="s">
        <v>110</v>
      </c>
      <c r="F6" s="174" t="s">
        <v>129</v>
      </c>
      <c r="G6" s="150"/>
      <c r="H6" s="150"/>
      <c r="K6" s="150"/>
      <c r="L6" s="150"/>
      <c r="M6" s="150"/>
      <c r="N6" s="150"/>
    </row>
    <row r="7" spans="2:14" ht="3.75" customHeight="1">
      <c r="B7" s="124"/>
      <c r="C7" s="117" t="s">
        <v>61</v>
      </c>
      <c r="D7" s="122"/>
      <c r="E7" s="122"/>
      <c r="F7" s="118">
        <f>'project 2016'!F9</f>
        <v>696.17</v>
      </c>
      <c r="G7" s="150"/>
      <c r="H7" s="150"/>
      <c r="K7" s="150"/>
      <c r="L7" s="150"/>
      <c r="M7" s="150"/>
      <c r="N7" s="150"/>
    </row>
    <row r="8" spans="2:14" ht="15" hidden="1">
      <c r="B8" s="180"/>
      <c r="C8" s="175" t="s">
        <v>80</v>
      </c>
      <c r="D8" s="176"/>
      <c r="E8" s="176"/>
      <c r="F8" s="181"/>
      <c r="G8" s="150"/>
      <c r="H8" s="150"/>
      <c r="K8" s="150"/>
      <c r="L8" s="150"/>
      <c r="M8" s="150"/>
      <c r="N8" s="150"/>
    </row>
    <row r="9" spans="2:14" ht="15" hidden="1">
      <c r="B9" s="180"/>
      <c r="C9" s="175" t="s">
        <v>63</v>
      </c>
      <c r="D9" s="176"/>
      <c r="E9" s="176"/>
      <c r="F9" s="181">
        <v>2.17</v>
      </c>
      <c r="G9" s="150"/>
      <c r="H9" s="150"/>
      <c r="K9" s="150"/>
      <c r="L9" s="150"/>
      <c r="M9" s="150"/>
      <c r="N9" s="150"/>
    </row>
    <row r="10" spans="2:14" ht="15" hidden="1">
      <c r="B10" s="180">
        <v>42612</v>
      </c>
      <c r="C10" s="175" t="s">
        <v>126</v>
      </c>
      <c r="D10" s="176"/>
      <c r="E10" s="176"/>
      <c r="F10" s="181">
        <f>-308.65</f>
        <v>-308.65</v>
      </c>
      <c r="G10" s="150"/>
      <c r="H10" s="150"/>
      <c r="K10" s="150"/>
      <c r="L10" s="150"/>
      <c r="M10" s="150"/>
      <c r="N10" s="150"/>
    </row>
    <row r="11" spans="2:14" ht="8.25" customHeight="1" hidden="1">
      <c r="B11" s="428">
        <v>42735</v>
      </c>
      <c r="C11" s="263" t="s">
        <v>2</v>
      </c>
      <c r="D11" s="261"/>
      <c r="E11" s="189"/>
      <c r="F11" s="193">
        <f>'project 2016'!F13</f>
        <v>389.68999999999994</v>
      </c>
      <c r="G11" s="560"/>
      <c r="H11" s="224"/>
      <c r="K11" s="150"/>
      <c r="L11" s="150"/>
      <c r="M11" s="150"/>
      <c r="N11" s="150"/>
    </row>
    <row r="12" spans="2:14" ht="15" hidden="1">
      <c r="B12" s="452">
        <v>42736</v>
      </c>
      <c r="C12" s="451" t="s">
        <v>63</v>
      </c>
      <c r="D12" s="451"/>
      <c r="E12" s="451"/>
      <c r="F12" s="181">
        <v>1.13</v>
      </c>
      <c r="G12" s="122"/>
      <c r="H12" s="224" t="s">
        <v>329</v>
      </c>
      <c r="K12" s="150"/>
      <c r="L12" s="150"/>
      <c r="M12" s="150"/>
      <c r="N12" s="150"/>
    </row>
    <row r="13" spans="2:14" ht="15" hidden="1">
      <c r="B13" s="452" t="s">
        <v>176</v>
      </c>
      <c r="C13" s="451"/>
      <c r="D13" s="451"/>
      <c r="E13" s="451"/>
      <c r="F13" s="181"/>
      <c r="G13" s="150"/>
      <c r="H13" s="224"/>
      <c r="K13" s="150"/>
      <c r="L13" s="150"/>
      <c r="M13" s="150"/>
      <c r="N13" s="150"/>
    </row>
    <row r="14" spans="2:14" ht="15" hidden="1">
      <c r="B14" s="452">
        <v>42912</v>
      </c>
      <c r="C14" s="451" t="s">
        <v>256</v>
      </c>
      <c r="D14" s="451"/>
      <c r="E14" s="451"/>
      <c r="F14" s="181">
        <v>-48.2</v>
      </c>
      <c r="G14" s="122"/>
      <c r="H14" s="224" t="s">
        <v>325</v>
      </c>
      <c r="K14" s="150"/>
      <c r="L14" s="150"/>
      <c r="M14" s="150"/>
      <c r="N14" s="150"/>
    </row>
    <row r="15" spans="2:14" ht="15" hidden="1">
      <c r="B15" s="452">
        <v>43025</v>
      </c>
      <c r="C15" s="451" t="s">
        <v>275</v>
      </c>
      <c r="D15" s="451"/>
      <c r="E15" s="451"/>
      <c r="F15" s="181">
        <v>-110.1</v>
      </c>
      <c r="G15" s="122"/>
      <c r="H15" s="224" t="s">
        <v>325</v>
      </c>
      <c r="J15" s="481" t="s">
        <v>352</v>
      </c>
      <c r="K15" s="150"/>
      <c r="L15" s="150"/>
      <c r="M15" s="150"/>
      <c r="N15" s="150"/>
    </row>
    <row r="16" spans="2:14" ht="15" hidden="1">
      <c r="B16" s="452" t="s">
        <v>304</v>
      </c>
      <c r="C16" s="509"/>
      <c r="D16" s="451"/>
      <c r="E16" s="451"/>
      <c r="F16" s="181">
        <f>SUM(F14:F15)</f>
        <v>-158.3</v>
      </c>
      <c r="G16" s="150"/>
      <c r="H16" s="224"/>
      <c r="K16" s="150"/>
      <c r="L16" s="150"/>
      <c r="M16" s="150"/>
      <c r="N16" s="150"/>
    </row>
    <row r="17" spans="2:14" ht="16.5" customHeight="1">
      <c r="B17" s="570">
        <v>43100</v>
      </c>
      <c r="C17" s="571" t="s">
        <v>84</v>
      </c>
      <c r="D17" s="571"/>
      <c r="E17" s="571"/>
      <c r="F17" s="118">
        <v>232.52</v>
      </c>
      <c r="G17" s="560"/>
      <c r="H17">
        <v>232.52</v>
      </c>
      <c r="K17" s="150"/>
      <c r="L17" s="150"/>
      <c r="M17" s="150"/>
      <c r="N17" s="150"/>
    </row>
    <row r="18" spans="2:14" ht="15">
      <c r="B18" s="427"/>
      <c r="C18" s="471" t="s">
        <v>362</v>
      </c>
      <c r="D18" s="471"/>
      <c r="E18" s="471"/>
      <c r="F18" s="193"/>
      <c r="G18" s="560"/>
      <c r="H18" s="150"/>
      <c r="K18" s="150"/>
      <c r="L18" s="150"/>
      <c r="M18" s="150"/>
      <c r="N18" s="150"/>
    </row>
    <row r="19" spans="2:14" ht="15">
      <c r="B19" s="427">
        <v>43442</v>
      </c>
      <c r="C19" s="471" t="s">
        <v>455</v>
      </c>
      <c r="D19" s="471"/>
      <c r="E19" s="471"/>
      <c r="F19" s="193">
        <f>-232.6</f>
        <v>-232.6</v>
      </c>
      <c r="G19" s="560"/>
      <c r="H19" s="224" t="s">
        <v>376</v>
      </c>
      <c r="K19" s="150"/>
      <c r="L19" s="150"/>
      <c r="M19" s="150"/>
      <c r="N19" s="150"/>
    </row>
    <row r="20" spans="2:14" ht="15">
      <c r="B20" s="427"/>
      <c r="C20" s="471"/>
      <c r="D20" s="471"/>
      <c r="E20" s="471"/>
      <c r="F20" s="193"/>
      <c r="G20" s="560"/>
      <c r="H20" s="150"/>
      <c r="K20" s="150"/>
      <c r="L20" s="150"/>
      <c r="M20" s="150"/>
      <c r="N20" s="150"/>
    </row>
    <row r="21" spans="2:14" ht="15">
      <c r="B21" s="427"/>
      <c r="C21" s="471" t="s">
        <v>364</v>
      </c>
      <c r="D21" s="471"/>
      <c r="E21" s="471"/>
      <c r="F21" s="193">
        <f>SUM(F18:F20)</f>
        <v>-232.6</v>
      </c>
      <c r="G21" s="560"/>
      <c r="H21" s="261" t="s">
        <v>393</v>
      </c>
      <c r="I21" s="567"/>
      <c r="J21" s="567"/>
      <c r="K21" s="189"/>
      <c r="L21" s="150"/>
      <c r="M21" s="150"/>
      <c r="N21" s="150"/>
    </row>
    <row r="22" spans="2:14" ht="15">
      <c r="B22" s="427"/>
      <c r="C22" s="471" t="s">
        <v>363</v>
      </c>
      <c r="D22" s="471"/>
      <c r="E22" s="471"/>
      <c r="F22" s="193"/>
      <c r="G22" s="560"/>
      <c r="H22" s="150"/>
      <c r="K22" s="150"/>
      <c r="L22" s="150"/>
      <c r="M22" s="150"/>
      <c r="N22" s="150"/>
    </row>
    <row r="23" spans="2:14" ht="15">
      <c r="B23" s="427">
        <v>43101</v>
      </c>
      <c r="C23" s="471" t="s">
        <v>59</v>
      </c>
      <c r="D23" s="471"/>
      <c r="E23" s="471"/>
      <c r="F23" s="193">
        <v>0.08</v>
      </c>
      <c r="G23" s="560"/>
      <c r="H23" s="224" t="s">
        <v>376</v>
      </c>
      <c r="K23" s="150"/>
      <c r="L23" s="150"/>
      <c r="M23" s="150"/>
      <c r="N23" s="150"/>
    </row>
    <row r="24" spans="2:14" ht="15">
      <c r="B24" s="427"/>
      <c r="C24" s="471"/>
      <c r="D24" s="471"/>
      <c r="E24" s="471"/>
      <c r="F24" s="193"/>
      <c r="G24" s="560"/>
      <c r="H24" s="150"/>
      <c r="K24" s="150"/>
      <c r="L24" s="150"/>
      <c r="M24" s="150"/>
      <c r="N24" s="150"/>
    </row>
    <row r="25" spans="2:14" ht="15">
      <c r="B25" s="427"/>
      <c r="C25" s="471" t="s">
        <v>365</v>
      </c>
      <c r="D25" s="471"/>
      <c r="E25" s="471"/>
      <c r="F25" s="193">
        <f>SUM(F22:F24)</f>
        <v>0.08</v>
      </c>
      <c r="G25" s="560"/>
      <c r="H25" s="150"/>
      <c r="K25" s="150"/>
      <c r="L25" s="150"/>
      <c r="M25" s="150"/>
      <c r="N25" s="150"/>
    </row>
    <row r="26" spans="2:14" ht="15">
      <c r="B26" s="570">
        <v>43465</v>
      </c>
      <c r="C26" s="571" t="s">
        <v>2</v>
      </c>
      <c r="D26" s="571"/>
      <c r="E26" s="571"/>
      <c r="F26" s="118">
        <f>F17+F21+F25</f>
        <v>1.5917822615563182E-14</v>
      </c>
      <c r="G26" s="560"/>
      <c r="H26" s="261" t="s">
        <v>393</v>
      </c>
      <c r="I26" s="567"/>
      <c r="J26" s="567"/>
      <c r="K26" s="189"/>
      <c r="L26" s="150"/>
      <c r="M26" s="150"/>
      <c r="N26" s="150"/>
    </row>
    <row r="27" spans="2:14" ht="15">
      <c r="B27" s="570"/>
      <c r="C27" s="571"/>
      <c r="D27" s="571"/>
      <c r="E27" s="571"/>
      <c r="F27" s="118"/>
      <c r="G27" s="560"/>
      <c r="H27" s="261"/>
      <c r="I27" s="567"/>
      <c r="J27" s="567"/>
      <c r="K27" s="189"/>
      <c r="L27" s="150"/>
      <c r="M27" s="150"/>
      <c r="N27" s="150"/>
    </row>
    <row r="28" spans="2:14" ht="15.75" thickBot="1">
      <c r="B28" s="691"/>
      <c r="C28" s="692" t="s">
        <v>456</v>
      </c>
      <c r="D28" s="693"/>
      <c r="E28" s="693"/>
      <c r="F28" s="184"/>
      <c r="G28" s="150"/>
      <c r="H28" s="150"/>
      <c r="K28" s="150"/>
      <c r="L28" s="150"/>
      <c r="M28" s="150"/>
      <c r="N28" s="150"/>
    </row>
    <row r="29" spans="2:14" ht="12.75">
      <c r="B29" s="24"/>
      <c r="C29" s="24"/>
      <c r="D29" s="24"/>
      <c r="E29" s="24"/>
      <c r="F29" s="24"/>
      <c r="G29" s="150"/>
      <c r="H29" s="150"/>
      <c r="K29" s="150"/>
      <c r="L29" s="150"/>
      <c r="M29" s="150"/>
      <c r="N29" s="150"/>
    </row>
    <row r="30" spans="2:14" ht="13.5" thickBot="1">
      <c r="B30" s="24"/>
      <c r="C30" s="24"/>
      <c r="D30" s="24"/>
      <c r="E30" s="24"/>
      <c r="F30" s="24"/>
      <c r="G30" s="150"/>
      <c r="H30" s="150"/>
      <c r="K30" s="150"/>
      <c r="L30" s="150"/>
      <c r="M30" s="150"/>
      <c r="N30" s="150"/>
    </row>
    <row r="31" spans="1:14" ht="15">
      <c r="A31" s="108"/>
      <c r="B31" s="429" t="s">
        <v>108</v>
      </c>
      <c r="C31" s="177"/>
      <c r="D31" s="178"/>
      <c r="E31" s="222" t="s">
        <v>109</v>
      </c>
      <c r="F31" s="179"/>
      <c r="G31" s="150"/>
      <c r="H31" s="150"/>
      <c r="K31" s="150"/>
      <c r="L31" s="150"/>
      <c r="M31" s="150"/>
      <c r="N31" s="150"/>
    </row>
    <row r="32" spans="2:14" ht="3" customHeight="1">
      <c r="B32" s="124"/>
      <c r="C32" s="117" t="s">
        <v>61</v>
      </c>
      <c r="D32" s="123"/>
      <c r="E32" s="123"/>
      <c r="F32" s="125">
        <f>'project 2016'!F23</f>
        <v>598.1699999999998</v>
      </c>
      <c r="G32" s="150"/>
      <c r="H32" s="150"/>
      <c r="K32" s="150"/>
      <c r="L32" s="150"/>
      <c r="M32" s="150"/>
      <c r="N32" s="150"/>
    </row>
    <row r="33" spans="2:14" ht="15" hidden="1">
      <c r="B33" s="139"/>
      <c r="C33" s="140" t="s">
        <v>81</v>
      </c>
      <c r="D33" s="141"/>
      <c r="E33" s="141"/>
      <c r="F33" s="142">
        <v>0</v>
      </c>
      <c r="G33" s="150"/>
      <c r="H33" s="150"/>
      <c r="K33" s="150"/>
      <c r="L33" s="150"/>
      <c r="M33" s="150"/>
      <c r="N33" s="150"/>
    </row>
    <row r="34" spans="2:14" ht="17.25" hidden="1">
      <c r="B34" s="428">
        <f>B11</f>
        <v>42735</v>
      </c>
      <c r="C34" s="263" t="str">
        <f>C11</f>
        <v>Saldo</v>
      </c>
      <c r="D34" s="189"/>
      <c r="E34" s="189"/>
      <c r="F34" s="193">
        <f>'project 2016'!F23</f>
        <v>598.1699999999998</v>
      </c>
      <c r="G34" s="561"/>
      <c r="H34" s="150"/>
      <c r="K34" s="150"/>
      <c r="L34" s="150"/>
      <c r="M34" s="150"/>
      <c r="N34" s="150"/>
    </row>
    <row r="35" spans="2:14" ht="15.75" hidden="1" thickBot="1">
      <c r="B35" s="143"/>
      <c r="C35" s="144"/>
      <c r="D35" s="145"/>
      <c r="E35" s="145"/>
      <c r="F35" s="146"/>
      <c r="G35" s="150"/>
      <c r="H35" s="150"/>
      <c r="K35" s="150"/>
      <c r="L35" s="150"/>
      <c r="M35" s="150"/>
      <c r="N35" s="150"/>
    </row>
    <row r="36" spans="2:14" ht="17.25">
      <c r="B36" s="428"/>
      <c r="C36" s="263" t="s">
        <v>296</v>
      </c>
      <c r="D36" s="189"/>
      <c r="E36" s="189"/>
      <c r="F36" s="193"/>
      <c r="G36" s="150"/>
      <c r="H36" s="150"/>
      <c r="K36" s="150"/>
      <c r="L36" s="150"/>
      <c r="M36" s="150"/>
      <c r="N36" s="150"/>
    </row>
    <row r="37" spans="2:14" ht="15">
      <c r="B37" s="570">
        <v>43100</v>
      </c>
      <c r="C37" s="571" t="s">
        <v>84</v>
      </c>
      <c r="D37" s="571"/>
      <c r="E37" s="571"/>
      <c r="F37" s="118">
        <v>598.17</v>
      </c>
      <c r="G37" s="560"/>
      <c r="H37" s="150">
        <v>598.17</v>
      </c>
      <c r="K37" s="150"/>
      <c r="L37" s="150"/>
      <c r="M37" s="150"/>
      <c r="N37" s="150"/>
    </row>
    <row r="38" spans="2:14" ht="15">
      <c r="B38" s="427"/>
      <c r="C38" s="471" t="s">
        <v>362</v>
      </c>
      <c r="D38" s="471"/>
      <c r="E38" s="471"/>
      <c r="F38" s="193"/>
      <c r="G38" s="560"/>
      <c r="H38" s="150"/>
      <c r="K38" s="150"/>
      <c r="L38" s="150"/>
      <c r="M38" s="150"/>
      <c r="N38" s="150"/>
    </row>
    <row r="39" spans="2:14" ht="15">
      <c r="B39" s="427">
        <v>43442</v>
      </c>
      <c r="C39" s="471" t="s">
        <v>403</v>
      </c>
      <c r="D39" s="471"/>
      <c r="E39" s="471"/>
      <c r="F39" s="193">
        <f>-598.17</f>
        <v>-598.17</v>
      </c>
      <c r="G39" s="560"/>
      <c r="H39" s="224" t="s">
        <v>457</v>
      </c>
      <c r="K39" s="150"/>
      <c r="L39" s="150"/>
      <c r="M39" s="150"/>
      <c r="N39" s="150"/>
    </row>
    <row r="40" spans="2:14" ht="15">
      <c r="B40" s="427"/>
      <c r="C40" s="471"/>
      <c r="D40" s="471"/>
      <c r="E40" s="471"/>
      <c r="F40" s="193"/>
      <c r="G40" s="560"/>
      <c r="H40" s="150"/>
      <c r="K40" s="150"/>
      <c r="L40" s="150"/>
      <c r="M40" s="150"/>
      <c r="N40" s="150"/>
    </row>
    <row r="41" spans="2:14" ht="15">
      <c r="B41" s="427"/>
      <c r="C41" s="471" t="s">
        <v>364</v>
      </c>
      <c r="D41" s="471"/>
      <c r="E41" s="471"/>
      <c r="F41" s="193">
        <f>SUM(F38:F40)</f>
        <v>-598.17</v>
      </c>
      <c r="G41" s="560"/>
      <c r="H41" s="261" t="s">
        <v>393</v>
      </c>
      <c r="I41" s="567"/>
      <c r="J41" s="567"/>
      <c r="K41" s="189"/>
      <c r="L41" s="150"/>
      <c r="M41" s="150"/>
      <c r="N41" s="150"/>
    </row>
    <row r="42" spans="2:14" ht="15">
      <c r="B42" s="427"/>
      <c r="C42" s="471" t="s">
        <v>363</v>
      </c>
      <c r="D42" s="471"/>
      <c r="E42" s="471"/>
      <c r="F42" s="193"/>
      <c r="G42" s="560"/>
      <c r="H42" s="261"/>
      <c r="I42" s="567"/>
      <c r="J42" s="567"/>
      <c r="K42" s="189"/>
      <c r="L42" s="150"/>
      <c r="M42" s="150"/>
      <c r="N42" s="150"/>
    </row>
    <row r="43" spans="2:14" ht="15">
      <c r="B43" s="427"/>
      <c r="C43" s="471" t="s">
        <v>365</v>
      </c>
      <c r="D43" s="471"/>
      <c r="E43" s="471"/>
      <c r="F43" s="193">
        <f>SUM(F42:F42)</f>
        <v>0</v>
      </c>
      <c r="G43" s="560"/>
      <c r="H43" s="150"/>
      <c r="K43" s="150"/>
      <c r="L43" s="150"/>
      <c r="M43" s="150"/>
      <c r="N43" s="150"/>
    </row>
    <row r="44" spans="2:14" ht="15">
      <c r="B44" s="570">
        <v>43465</v>
      </c>
      <c r="C44" s="571" t="s">
        <v>2</v>
      </c>
      <c r="D44" s="571"/>
      <c r="E44" s="571"/>
      <c r="F44" s="118">
        <f>F37+F41+F43</f>
        <v>0</v>
      </c>
      <c r="G44" s="560"/>
      <c r="L44" s="150"/>
      <c r="M44" s="150"/>
      <c r="N44" s="150"/>
    </row>
    <row r="45" spans="2:14" ht="15">
      <c r="B45" s="570"/>
      <c r="C45" s="571"/>
      <c r="D45" s="571"/>
      <c r="E45" s="571"/>
      <c r="F45" s="118"/>
      <c r="G45" s="560"/>
      <c r="L45" s="150"/>
      <c r="M45" s="150"/>
      <c r="N45" s="150"/>
    </row>
    <row r="46" spans="2:14" ht="15.75" thickBot="1">
      <c r="B46" s="182"/>
      <c r="C46" s="661" t="s">
        <v>421</v>
      </c>
      <c r="D46" s="662"/>
      <c r="E46" s="183"/>
      <c r="F46" s="184"/>
      <c r="G46" s="560"/>
      <c r="H46" s="150"/>
      <c r="K46" s="150"/>
      <c r="L46" s="150"/>
      <c r="M46" s="150"/>
      <c r="N46" s="150"/>
    </row>
    <row r="47" spans="2:14" ht="15">
      <c r="B47" s="422"/>
      <c r="C47" s="149"/>
      <c r="D47" s="150"/>
      <c r="E47" s="150"/>
      <c r="F47" s="423"/>
      <c r="G47" s="150"/>
      <c r="H47" s="150"/>
      <c r="K47" s="150"/>
      <c r="L47" s="150"/>
      <c r="M47" s="150"/>
      <c r="N47" s="150"/>
    </row>
    <row r="48" spans="1:14" ht="15.75" thickBot="1">
      <c r="A48" s="24"/>
      <c r="B48" s="422"/>
      <c r="C48" s="149"/>
      <c r="D48" s="150"/>
      <c r="E48" s="150"/>
      <c r="F48" s="423"/>
      <c r="G48" s="150"/>
      <c r="H48" s="150"/>
      <c r="K48" s="150"/>
      <c r="L48" s="150"/>
      <c r="M48" s="150"/>
      <c r="N48" s="150"/>
    </row>
    <row r="49" spans="1:14" ht="15">
      <c r="A49" s="108"/>
      <c r="B49" s="255" t="s">
        <v>0</v>
      </c>
      <c r="C49" s="426"/>
      <c r="D49" s="426"/>
      <c r="E49" s="221" t="s">
        <v>111</v>
      </c>
      <c r="F49" s="174"/>
      <c r="G49" s="150"/>
      <c r="H49" s="150"/>
      <c r="K49" s="150"/>
      <c r="L49" s="150"/>
      <c r="M49" s="150"/>
      <c r="N49" s="150"/>
    </row>
    <row r="50" spans="2:14" ht="3" customHeight="1">
      <c r="B50" s="127"/>
      <c r="C50" s="117" t="s">
        <v>61</v>
      </c>
      <c r="D50" s="117"/>
      <c r="E50" s="117"/>
      <c r="F50" s="118">
        <f>'project 2016'!F31</f>
        <v>408.81000000000023</v>
      </c>
      <c r="G50" s="150"/>
      <c r="H50" s="150"/>
      <c r="J50">
        <v>7537.839999999998</v>
      </c>
      <c r="K50" s="150"/>
      <c r="L50" s="150"/>
      <c r="M50" s="150"/>
      <c r="N50" s="150"/>
    </row>
    <row r="51" spans="2:14" ht="15" hidden="1">
      <c r="B51" s="139"/>
      <c r="C51" s="140" t="s">
        <v>81</v>
      </c>
      <c r="D51" s="141"/>
      <c r="E51" s="141"/>
      <c r="F51" s="142"/>
      <c r="G51" s="150"/>
      <c r="H51" s="150"/>
      <c r="J51">
        <v>0</v>
      </c>
      <c r="K51" s="150"/>
      <c r="L51" s="150"/>
      <c r="M51" s="150"/>
      <c r="N51" s="150"/>
    </row>
    <row r="52" spans="2:14" ht="15" hidden="1">
      <c r="B52" s="139">
        <v>42696</v>
      </c>
      <c r="C52" s="140" t="s">
        <v>144</v>
      </c>
      <c r="D52" s="141"/>
      <c r="E52" s="141"/>
      <c r="F52" s="142">
        <v>-293.68</v>
      </c>
      <c r="G52" s="150"/>
      <c r="H52" s="150"/>
      <c r="J52">
        <v>48.66</v>
      </c>
      <c r="K52" s="150"/>
      <c r="L52" s="150"/>
      <c r="M52" s="150"/>
      <c r="N52" s="150"/>
    </row>
    <row r="53" spans="2:14" ht="15" hidden="1">
      <c r="B53" s="139">
        <v>42697</v>
      </c>
      <c r="C53" s="140" t="s">
        <v>145</v>
      </c>
      <c r="D53" s="141"/>
      <c r="E53" s="141"/>
      <c r="F53" s="142">
        <v>-114.5</v>
      </c>
      <c r="G53" s="150"/>
      <c r="H53" s="150"/>
      <c r="J53">
        <v>0</v>
      </c>
      <c r="K53" s="150"/>
      <c r="L53" s="150"/>
      <c r="M53" s="150"/>
      <c r="N53" s="150"/>
    </row>
    <row r="54" spans="2:14" ht="17.25" hidden="1">
      <c r="B54" s="428">
        <f>B34</f>
        <v>42735</v>
      </c>
      <c r="C54" s="263" t="str">
        <f>C34</f>
        <v>Saldo</v>
      </c>
      <c r="D54" s="189"/>
      <c r="E54" s="189"/>
      <c r="F54" s="193">
        <f>'project 2016'!F35</f>
        <v>0.6300000000002228</v>
      </c>
      <c r="G54" s="224"/>
      <c r="H54" s="150"/>
      <c r="K54" s="150"/>
      <c r="L54" s="150"/>
      <c r="M54" s="150"/>
      <c r="N54" s="150"/>
    </row>
    <row r="55" spans="2:14" ht="17.25" hidden="1">
      <c r="B55" s="428">
        <v>42787</v>
      </c>
      <c r="C55" s="263" t="s">
        <v>234</v>
      </c>
      <c r="D55" s="189"/>
      <c r="E55" s="189"/>
      <c r="F55" s="193">
        <f>-0.63</f>
        <v>-0.63</v>
      </c>
      <c r="G55" s="123"/>
      <c r="H55" s="150" t="s">
        <v>337</v>
      </c>
      <c r="J55">
        <v>926</v>
      </c>
      <c r="K55" s="150"/>
      <c r="L55" s="150"/>
      <c r="M55" s="150"/>
      <c r="N55" s="150"/>
    </row>
    <row r="56" spans="2:14" ht="17.25">
      <c r="B56" s="428">
        <v>42787</v>
      </c>
      <c r="C56" s="263" t="s">
        <v>235</v>
      </c>
      <c r="D56" s="189"/>
      <c r="E56" s="189"/>
      <c r="F56" s="193">
        <f>F54+F55</f>
        <v>2.2282176104226892E-13</v>
      </c>
      <c r="G56" s="194"/>
      <c r="H56" s="150"/>
      <c r="K56" s="150"/>
      <c r="L56" s="150"/>
      <c r="M56" s="150"/>
      <c r="N56" s="150"/>
    </row>
    <row r="57" spans="2:14" ht="15.75" thickBot="1">
      <c r="B57" s="143"/>
      <c r="C57" s="661" t="s">
        <v>420</v>
      </c>
      <c r="D57" s="662"/>
      <c r="E57" s="145"/>
      <c r="F57" s="146"/>
      <c r="G57" s="150"/>
      <c r="H57" s="150"/>
      <c r="K57" s="150"/>
      <c r="L57" s="150"/>
      <c r="M57" s="150"/>
      <c r="N57" s="150"/>
    </row>
    <row r="58" spans="2:14" ht="15">
      <c r="B58" s="84"/>
      <c r="C58" s="23"/>
      <c r="D58" s="23"/>
      <c r="E58" s="23"/>
      <c r="F58" s="23"/>
      <c r="G58" s="150"/>
      <c r="H58" s="150"/>
      <c r="K58" s="150"/>
      <c r="L58" s="150"/>
      <c r="M58" s="150"/>
      <c r="N58" s="150"/>
    </row>
    <row r="59" spans="2:14" ht="15" thickBot="1">
      <c r="B59" s="84"/>
      <c r="C59" s="29"/>
      <c r="D59" s="29"/>
      <c r="E59" s="29"/>
      <c r="F59" s="82"/>
      <c r="G59" s="150"/>
      <c r="H59" s="150"/>
      <c r="K59" s="150"/>
      <c r="L59" s="150"/>
      <c r="M59" s="150"/>
      <c r="N59" s="150"/>
    </row>
    <row r="60" spans="1:14" ht="15">
      <c r="A60" s="108"/>
      <c r="B60" s="432" t="s">
        <v>39</v>
      </c>
      <c r="C60" s="177"/>
      <c r="D60" s="177"/>
      <c r="E60" s="222" t="s">
        <v>112</v>
      </c>
      <c r="F60" s="433"/>
      <c r="G60" s="150"/>
      <c r="H60" s="150"/>
      <c r="K60" s="150"/>
      <c r="L60" s="150"/>
      <c r="M60" s="150"/>
      <c r="N60" s="150"/>
    </row>
    <row r="61" spans="2:14" ht="4.5" customHeight="1">
      <c r="B61" s="172"/>
      <c r="C61" s="117" t="s">
        <v>60</v>
      </c>
      <c r="D61" s="117"/>
      <c r="E61" s="117"/>
      <c r="F61" s="173">
        <f>'project 2016'!F50</f>
        <v>218.9500000000001</v>
      </c>
      <c r="G61" s="150"/>
      <c r="H61" s="150"/>
      <c r="K61" s="150"/>
      <c r="L61" s="150"/>
      <c r="M61" s="150"/>
      <c r="N61" s="150"/>
    </row>
    <row r="62" spans="2:14" ht="15" hidden="1">
      <c r="B62" s="434" t="s">
        <v>81</v>
      </c>
      <c r="C62" s="175"/>
      <c r="D62" s="175"/>
      <c r="E62" s="175"/>
      <c r="F62" s="196"/>
      <c r="G62" s="150"/>
      <c r="H62" s="150"/>
      <c r="K62" s="150"/>
      <c r="L62" s="150"/>
      <c r="M62" s="150"/>
      <c r="N62" s="150"/>
    </row>
    <row r="63" spans="2:14" ht="15" hidden="1">
      <c r="B63" s="434"/>
      <c r="C63" s="175" t="s">
        <v>59</v>
      </c>
      <c r="D63" s="175"/>
      <c r="E63" s="175"/>
      <c r="F63" s="196">
        <f>'fin overz 31 dec 2016'!J19</f>
        <v>7.78</v>
      </c>
      <c r="G63" s="150"/>
      <c r="H63" s="150"/>
      <c r="K63" s="150"/>
      <c r="L63" s="150"/>
      <c r="M63" s="150"/>
      <c r="N63" s="150"/>
    </row>
    <row r="64" spans="2:14" ht="15" hidden="1">
      <c r="B64" s="156">
        <v>42376</v>
      </c>
      <c r="C64" s="234" t="s">
        <v>67</v>
      </c>
      <c r="D64" s="157"/>
      <c r="E64" s="157"/>
      <c r="F64" s="158">
        <v>-10.35</v>
      </c>
      <c r="G64" s="150"/>
      <c r="H64" s="150"/>
      <c r="K64" s="150"/>
      <c r="L64" s="150"/>
      <c r="M64" s="150"/>
      <c r="N64" s="150"/>
    </row>
    <row r="65" spans="2:14" ht="15" hidden="1">
      <c r="B65" s="156">
        <v>42403</v>
      </c>
      <c r="C65" s="157" t="s">
        <v>67</v>
      </c>
      <c r="D65" s="157"/>
      <c r="E65" s="157"/>
      <c r="F65" s="158">
        <v>-10.65</v>
      </c>
      <c r="G65" s="150"/>
      <c r="H65" s="150"/>
      <c r="K65" s="150"/>
      <c r="L65" s="150"/>
      <c r="M65" s="150"/>
      <c r="N65" s="150"/>
    </row>
    <row r="66" spans="2:14" ht="15" hidden="1">
      <c r="B66" s="156">
        <v>42432</v>
      </c>
      <c r="C66" s="157" t="s">
        <v>67</v>
      </c>
      <c r="D66" s="157"/>
      <c r="E66" s="157"/>
      <c r="F66" s="158">
        <v>-10.65</v>
      </c>
      <c r="G66" s="150"/>
      <c r="H66" s="150"/>
      <c r="K66" s="150"/>
      <c r="L66" s="150"/>
      <c r="M66" s="150"/>
      <c r="N66" s="150"/>
    </row>
    <row r="67" spans="2:14" ht="15" hidden="1">
      <c r="B67" s="156"/>
      <c r="C67" s="234" t="s">
        <v>59</v>
      </c>
      <c r="D67" s="157"/>
      <c r="E67" s="157"/>
      <c r="F67" s="158"/>
      <c r="G67" s="150"/>
      <c r="H67" s="150"/>
      <c r="K67" s="150"/>
      <c r="L67" s="150"/>
      <c r="M67" s="150"/>
      <c r="N67" s="150"/>
    </row>
    <row r="68" spans="2:14" ht="15" hidden="1">
      <c r="B68" s="156">
        <v>42465</v>
      </c>
      <c r="C68" s="157" t="s">
        <v>67</v>
      </c>
      <c r="D68" s="157"/>
      <c r="E68" s="157"/>
      <c r="F68" s="158">
        <v>-10.65</v>
      </c>
      <c r="G68" s="150"/>
      <c r="H68" s="150"/>
      <c r="K68" s="150"/>
      <c r="L68" s="150"/>
      <c r="M68" s="150"/>
      <c r="N68" s="150"/>
    </row>
    <row r="69" spans="2:14" ht="15" hidden="1">
      <c r="B69" s="156">
        <v>42494</v>
      </c>
      <c r="C69" s="157" t="s">
        <v>67</v>
      </c>
      <c r="D69" s="157"/>
      <c r="E69" s="157"/>
      <c r="F69" s="158">
        <v>-10.65</v>
      </c>
      <c r="G69" s="150"/>
      <c r="H69" s="150"/>
      <c r="K69" s="150"/>
      <c r="L69" s="150"/>
      <c r="M69" s="150"/>
      <c r="N69" s="150"/>
    </row>
    <row r="70" spans="2:14" ht="15" hidden="1">
      <c r="B70" s="156">
        <v>42524</v>
      </c>
      <c r="C70" s="157" t="s">
        <v>67</v>
      </c>
      <c r="D70" s="157"/>
      <c r="E70" s="157"/>
      <c r="F70" s="158">
        <v>-10.65</v>
      </c>
      <c r="G70" s="150"/>
      <c r="H70" s="150"/>
      <c r="K70" s="150"/>
      <c r="L70" s="150"/>
      <c r="M70" s="150"/>
      <c r="N70" s="150"/>
    </row>
    <row r="71" spans="2:14" ht="15" hidden="1">
      <c r="B71" s="156">
        <v>42556</v>
      </c>
      <c r="C71" s="157" t="s">
        <v>67</v>
      </c>
      <c r="D71" s="157"/>
      <c r="E71" s="157"/>
      <c r="F71" s="158">
        <v>-10.65</v>
      </c>
      <c r="G71" s="150"/>
      <c r="H71" s="150"/>
      <c r="K71" s="150"/>
      <c r="L71" s="150"/>
      <c r="M71" s="150"/>
      <c r="N71" s="150"/>
    </row>
    <row r="72" spans="2:14" ht="2.25" customHeight="1" hidden="1">
      <c r="B72" s="156">
        <v>42585</v>
      </c>
      <c r="C72" s="157" t="s">
        <v>67</v>
      </c>
      <c r="D72" s="157"/>
      <c r="E72" s="157"/>
      <c r="F72" s="158">
        <v>-10.65</v>
      </c>
      <c r="G72" s="150"/>
      <c r="H72" s="150"/>
      <c r="K72" s="150"/>
      <c r="L72" s="150"/>
      <c r="M72" s="150"/>
      <c r="N72" s="150"/>
    </row>
    <row r="73" spans="2:14" ht="15" hidden="1">
      <c r="B73" s="233">
        <v>42616</v>
      </c>
      <c r="C73" s="234" t="s">
        <v>67</v>
      </c>
      <c r="D73" s="157"/>
      <c r="E73" s="157"/>
      <c r="F73" s="158">
        <v>-10.65</v>
      </c>
      <c r="G73" s="150"/>
      <c r="H73" s="150"/>
      <c r="K73" s="150"/>
      <c r="L73" s="150"/>
      <c r="M73" s="150"/>
      <c r="N73" s="150"/>
    </row>
    <row r="74" spans="2:14" ht="15" hidden="1">
      <c r="B74" s="233">
        <v>42648</v>
      </c>
      <c r="C74" s="234" t="s">
        <v>67</v>
      </c>
      <c r="D74" s="157"/>
      <c r="E74" s="157"/>
      <c r="F74" s="158">
        <v>-11.21</v>
      </c>
      <c r="G74" s="150"/>
      <c r="H74" s="150"/>
      <c r="K74" s="150"/>
      <c r="L74" s="150"/>
      <c r="M74" s="150"/>
      <c r="N74" s="150"/>
    </row>
    <row r="75" spans="2:14" ht="15" hidden="1">
      <c r="B75" s="233">
        <v>42678</v>
      </c>
      <c r="C75" s="234" t="s">
        <v>67</v>
      </c>
      <c r="D75" s="157"/>
      <c r="E75" s="157"/>
      <c r="F75" s="158">
        <v>-10.09</v>
      </c>
      <c r="G75" s="150"/>
      <c r="H75" s="150"/>
      <c r="K75" s="150"/>
      <c r="L75" s="150"/>
      <c r="M75" s="150"/>
      <c r="N75" s="150"/>
    </row>
    <row r="76" spans="2:14" ht="13.5" customHeight="1" hidden="1">
      <c r="B76" s="233">
        <v>42707</v>
      </c>
      <c r="C76" s="234" t="s">
        <v>67</v>
      </c>
      <c r="D76" s="157"/>
      <c r="E76" s="157"/>
      <c r="F76" s="158">
        <v>-10.65</v>
      </c>
      <c r="G76" s="150"/>
      <c r="H76" s="150"/>
      <c r="K76" s="150"/>
      <c r="L76" s="150"/>
      <c r="M76" s="150"/>
      <c r="N76" s="150"/>
    </row>
    <row r="77" spans="2:14" ht="15" hidden="1">
      <c r="B77" s="156"/>
      <c r="C77" s="234" t="s">
        <v>139</v>
      </c>
      <c r="D77" s="157"/>
      <c r="E77" s="157"/>
      <c r="F77" s="158">
        <f>SUM(F64:F76)</f>
        <v>-127.50000000000003</v>
      </c>
      <c r="G77" s="150"/>
      <c r="H77" s="150"/>
      <c r="K77" s="150"/>
      <c r="L77" s="150"/>
      <c r="M77" s="150"/>
      <c r="N77" s="150"/>
    </row>
    <row r="78" spans="2:14" ht="15" hidden="1">
      <c r="B78" s="172">
        <f>B54</f>
        <v>42735</v>
      </c>
      <c r="C78" s="130" t="str">
        <f>C54</f>
        <v>Saldo</v>
      </c>
      <c r="D78" s="117"/>
      <c r="E78" s="117"/>
      <c r="F78" s="173">
        <f>'project 2016'!F67</f>
        <v>99.23000000000008</v>
      </c>
      <c r="G78" s="150"/>
      <c r="H78" s="150"/>
      <c r="K78" s="150"/>
      <c r="L78" s="150"/>
      <c r="M78" s="150"/>
      <c r="N78" s="150"/>
    </row>
    <row r="79" spans="2:14" ht="15" hidden="1">
      <c r="B79" s="434" t="s">
        <v>100</v>
      </c>
      <c r="C79" s="424"/>
      <c r="D79" s="175"/>
      <c r="E79" s="175"/>
      <c r="F79" s="196"/>
      <c r="G79" s="150"/>
      <c r="H79" s="150"/>
      <c r="K79" s="150"/>
      <c r="L79" s="150"/>
      <c r="M79" s="150"/>
      <c r="N79" s="150"/>
    </row>
    <row r="80" spans="2:14" ht="15" hidden="1">
      <c r="B80" s="434">
        <v>42787</v>
      </c>
      <c r="C80" s="424" t="s">
        <v>232</v>
      </c>
      <c r="D80" s="175"/>
      <c r="E80" s="175"/>
      <c r="F80" s="196">
        <f>-F132</f>
        <v>200</v>
      </c>
      <c r="G80" s="150"/>
      <c r="H80" s="150" t="s">
        <v>335</v>
      </c>
      <c r="K80" s="150"/>
      <c r="L80" s="150"/>
      <c r="M80" s="150"/>
      <c r="N80" s="150"/>
    </row>
    <row r="81" spans="2:14" ht="15" hidden="1">
      <c r="B81" s="434">
        <v>42787</v>
      </c>
      <c r="C81" s="424" t="s">
        <v>236</v>
      </c>
      <c r="D81" s="175"/>
      <c r="E81" s="175"/>
      <c r="F81" s="196">
        <f>-F55</f>
        <v>0.63</v>
      </c>
      <c r="G81" s="150"/>
      <c r="H81" s="150" t="s">
        <v>335</v>
      </c>
      <c r="K81" s="150"/>
      <c r="L81" s="150"/>
      <c r="M81" s="150"/>
      <c r="N81" s="150"/>
    </row>
    <row r="82" spans="2:14" ht="9" customHeight="1" hidden="1">
      <c r="B82" s="434">
        <v>42787</v>
      </c>
      <c r="C82" s="424" t="s">
        <v>237</v>
      </c>
      <c r="D82" s="175"/>
      <c r="E82" s="175"/>
      <c r="F82" s="196">
        <f>F190</f>
        <v>13.29</v>
      </c>
      <c r="G82" s="150"/>
      <c r="H82" s="150" t="s">
        <v>338</v>
      </c>
      <c r="K82" s="150"/>
      <c r="L82" s="150"/>
      <c r="M82" s="150"/>
      <c r="N82" s="150"/>
    </row>
    <row r="83" spans="2:14" ht="15" hidden="1">
      <c r="B83" s="437" t="s">
        <v>242</v>
      </c>
      <c r="C83" s="263"/>
      <c r="D83" s="191"/>
      <c r="E83" s="191"/>
      <c r="F83" s="240">
        <f>SUM(F80:F82)</f>
        <v>213.92</v>
      </c>
      <c r="G83" s="150"/>
      <c r="H83" s="150"/>
      <c r="K83" s="150"/>
      <c r="L83" s="150"/>
      <c r="M83" s="150"/>
      <c r="N83" s="150"/>
    </row>
    <row r="84" spans="2:14" ht="15" hidden="1">
      <c r="B84" s="434" t="s">
        <v>176</v>
      </c>
      <c r="C84" s="424"/>
      <c r="D84" s="175"/>
      <c r="E84" s="175"/>
      <c r="F84" s="196"/>
      <c r="G84" s="150"/>
      <c r="H84" s="150"/>
      <c r="K84" s="150"/>
      <c r="L84" s="150"/>
      <c r="M84" s="150"/>
      <c r="N84" s="150"/>
    </row>
    <row r="85" spans="2:14" ht="15" hidden="1">
      <c r="B85" s="434">
        <v>42739</v>
      </c>
      <c r="C85" s="424" t="s">
        <v>67</v>
      </c>
      <c r="D85" s="175"/>
      <c r="E85" s="175"/>
      <c r="F85" s="196">
        <v>-10.65</v>
      </c>
      <c r="G85" s="122"/>
      <c r="H85" s="150" t="s">
        <v>330</v>
      </c>
      <c r="K85" s="150"/>
      <c r="L85" s="150"/>
      <c r="M85" s="150"/>
      <c r="N85" s="150"/>
    </row>
    <row r="86" spans="2:14" ht="10.5" customHeight="1" hidden="1">
      <c r="B86" s="434">
        <v>43134</v>
      </c>
      <c r="C86" s="424" t="s">
        <v>67</v>
      </c>
      <c r="D86" s="175"/>
      <c r="E86" s="175"/>
      <c r="F86" s="196">
        <v>-10.9</v>
      </c>
      <c r="G86" s="122"/>
      <c r="H86" s="150" t="s">
        <v>330</v>
      </c>
      <c r="I86" s="566" t="s">
        <v>348</v>
      </c>
      <c r="J86" s="566"/>
      <c r="K86" s="150"/>
      <c r="L86" s="150"/>
      <c r="M86" s="150"/>
      <c r="N86" s="150"/>
    </row>
    <row r="87" spans="2:14" ht="15" hidden="1">
      <c r="B87" s="434">
        <v>42787</v>
      </c>
      <c r="C87" s="424" t="s">
        <v>241</v>
      </c>
      <c r="D87" s="175"/>
      <c r="E87" s="175"/>
      <c r="F87" s="196">
        <f>-F269</f>
        <v>-0.009999999999990905</v>
      </c>
      <c r="G87" s="122"/>
      <c r="H87" s="150" t="s">
        <v>335</v>
      </c>
      <c r="K87" s="150"/>
      <c r="L87" s="150"/>
      <c r="M87" s="150"/>
      <c r="N87" s="150"/>
    </row>
    <row r="88" spans="2:14" ht="15" hidden="1">
      <c r="B88" s="434">
        <v>42798</v>
      </c>
      <c r="C88" s="424" t="s">
        <v>67</v>
      </c>
      <c r="D88" s="175"/>
      <c r="E88" s="175"/>
      <c r="F88" s="196">
        <v>-17.8</v>
      </c>
      <c r="G88" s="122"/>
      <c r="H88" s="150" t="s">
        <v>330</v>
      </c>
      <c r="K88" s="150"/>
      <c r="L88" s="150"/>
      <c r="M88" s="150"/>
      <c r="N88" s="150"/>
    </row>
    <row r="89" spans="2:14" ht="15" hidden="1">
      <c r="B89" s="434">
        <v>42829</v>
      </c>
      <c r="C89" s="424" t="s">
        <v>67</v>
      </c>
      <c r="D89" s="175"/>
      <c r="E89" s="175"/>
      <c r="F89" s="196">
        <v>-4</v>
      </c>
      <c r="G89" s="122"/>
      <c r="H89" s="150" t="s">
        <v>330</v>
      </c>
      <c r="K89" s="150"/>
      <c r="L89" s="150"/>
      <c r="M89" s="150"/>
      <c r="N89" s="150"/>
    </row>
    <row r="90" spans="2:14" ht="15" hidden="1">
      <c r="B90" s="434">
        <v>42859</v>
      </c>
      <c r="C90" s="424" t="s">
        <v>67</v>
      </c>
      <c r="D90" s="175"/>
      <c r="E90" s="175"/>
      <c r="F90" s="196">
        <v>-10.9</v>
      </c>
      <c r="G90" s="122"/>
      <c r="H90" s="150" t="s">
        <v>330</v>
      </c>
      <c r="K90" s="150"/>
      <c r="L90" s="150"/>
      <c r="M90" s="150"/>
      <c r="N90" s="150"/>
    </row>
    <row r="91" spans="2:14" ht="15" hidden="1">
      <c r="B91" s="434">
        <v>42874</v>
      </c>
      <c r="C91" s="424" t="s">
        <v>252</v>
      </c>
      <c r="D91" s="175"/>
      <c r="E91" s="175"/>
      <c r="F91" s="196">
        <v>-25.9</v>
      </c>
      <c r="G91" s="122"/>
      <c r="H91" s="220" t="s">
        <v>341</v>
      </c>
      <c r="K91" s="150"/>
      <c r="L91" s="150"/>
      <c r="M91" s="150"/>
      <c r="N91" s="150"/>
    </row>
    <row r="92" spans="2:14" ht="15" hidden="1">
      <c r="B92" s="434">
        <v>42890</v>
      </c>
      <c r="C92" s="424" t="s">
        <v>67</v>
      </c>
      <c r="D92" s="175"/>
      <c r="E92" s="175"/>
      <c r="F92" s="196">
        <v>-11.38</v>
      </c>
      <c r="G92" s="122"/>
      <c r="H92" s="150" t="s">
        <v>330</v>
      </c>
      <c r="K92" s="150"/>
      <c r="L92" s="150"/>
      <c r="M92" s="150"/>
      <c r="N92" s="150"/>
    </row>
    <row r="93" spans="2:14" ht="15" hidden="1">
      <c r="B93" s="434">
        <v>42922</v>
      </c>
      <c r="C93" s="424" t="s">
        <v>67</v>
      </c>
      <c r="D93" s="175"/>
      <c r="E93" s="175"/>
      <c r="F93" s="196">
        <v>-10.42</v>
      </c>
      <c r="G93" s="122"/>
      <c r="H93" s="150" t="s">
        <v>330</v>
      </c>
      <c r="K93" s="150"/>
      <c r="L93" s="150"/>
      <c r="M93" s="150"/>
      <c r="N93" s="150"/>
    </row>
    <row r="94" spans="2:14" ht="15" hidden="1">
      <c r="B94" s="434">
        <v>42951</v>
      </c>
      <c r="C94" s="424" t="s">
        <v>67</v>
      </c>
      <c r="D94" s="175"/>
      <c r="E94" s="175"/>
      <c r="F94" s="196">
        <v>-10.9</v>
      </c>
      <c r="G94" s="122"/>
      <c r="H94" s="150" t="s">
        <v>330</v>
      </c>
      <c r="K94" s="150"/>
      <c r="L94" s="150"/>
      <c r="M94" s="150"/>
      <c r="N94" s="150"/>
    </row>
    <row r="95" spans="2:14" ht="15" hidden="1">
      <c r="B95" s="434">
        <v>42970</v>
      </c>
      <c r="C95" s="424" t="s">
        <v>257</v>
      </c>
      <c r="D95" s="175"/>
      <c r="E95" s="175"/>
      <c r="F95" s="196">
        <v>-23.37</v>
      </c>
      <c r="G95" s="122"/>
      <c r="H95" s="150" t="s">
        <v>330</v>
      </c>
      <c r="K95" s="150"/>
      <c r="L95" s="150"/>
      <c r="M95" s="150"/>
      <c r="N95" s="150"/>
    </row>
    <row r="96" spans="2:14" ht="15" hidden="1">
      <c r="B96" s="434">
        <v>42983</v>
      </c>
      <c r="C96" s="424" t="s">
        <v>67</v>
      </c>
      <c r="D96" s="175"/>
      <c r="E96" s="175"/>
      <c r="F96" s="196">
        <v>-10.9</v>
      </c>
      <c r="G96" s="122"/>
      <c r="H96" s="150" t="s">
        <v>330</v>
      </c>
      <c r="K96" s="150"/>
      <c r="L96" s="150"/>
      <c r="M96" s="150"/>
      <c r="N96" s="150"/>
    </row>
    <row r="97" spans="2:14" ht="15" hidden="1">
      <c r="B97" s="434">
        <v>43013</v>
      </c>
      <c r="C97" s="424" t="s">
        <v>67</v>
      </c>
      <c r="D97" s="175"/>
      <c r="E97" s="175"/>
      <c r="F97" s="196">
        <v>-10.9</v>
      </c>
      <c r="G97" s="122"/>
      <c r="H97" s="150" t="s">
        <v>330</v>
      </c>
      <c r="K97" s="150"/>
      <c r="L97" s="150"/>
      <c r="M97" s="150"/>
      <c r="N97" s="150"/>
    </row>
    <row r="98" spans="2:14" ht="15" hidden="1">
      <c r="B98" s="434">
        <v>43042</v>
      </c>
      <c r="C98" s="424" t="s">
        <v>67</v>
      </c>
      <c r="D98" s="175"/>
      <c r="E98" s="175"/>
      <c r="F98" s="196">
        <v>-10.9</v>
      </c>
      <c r="G98" s="122"/>
      <c r="H98" s="150" t="s">
        <v>330</v>
      </c>
      <c r="K98" s="150"/>
      <c r="L98" s="150"/>
      <c r="M98" s="150"/>
      <c r="N98" s="150"/>
    </row>
    <row r="99" spans="2:14" ht="15" hidden="1">
      <c r="B99" s="434">
        <v>43073</v>
      </c>
      <c r="C99" s="424" t="s">
        <v>67</v>
      </c>
      <c r="D99" s="175"/>
      <c r="E99" s="175"/>
      <c r="F99" s="196">
        <v>-10.9</v>
      </c>
      <c r="G99" s="122"/>
      <c r="H99" s="150" t="s">
        <v>330</v>
      </c>
      <c r="K99" s="150"/>
      <c r="L99" s="150"/>
      <c r="M99" s="150"/>
      <c r="N99" s="150"/>
    </row>
    <row r="100" spans="2:14" ht="15" hidden="1">
      <c r="B100" s="434"/>
      <c r="C100" s="424"/>
      <c r="D100" s="175"/>
      <c r="E100" s="175"/>
      <c r="F100" s="196"/>
      <c r="G100" s="150"/>
      <c r="H100" s="150"/>
      <c r="K100" s="150"/>
      <c r="L100" s="150"/>
      <c r="M100" s="150"/>
      <c r="N100" s="150"/>
    </row>
    <row r="101" spans="2:14" ht="15" hidden="1">
      <c r="B101" s="437" t="s">
        <v>139</v>
      </c>
      <c r="C101" s="263"/>
      <c r="D101" s="191"/>
      <c r="E101" s="191"/>
      <c r="F101" s="240">
        <f>SUM(F85:F100)</f>
        <v>-179.83</v>
      </c>
      <c r="G101" s="150"/>
      <c r="H101" s="150"/>
      <c r="K101" s="150"/>
      <c r="L101" s="150"/>
      <c r="M101" s="150"/>
      <c r="N101" s="150"/>
    </row>
    <row r="102" spans="2:14" ht="15" hidden="1">
      <c r="B102" s="472"/>
      <c r="C102" s="473"/>
      <c r="D102" s="149"/>
      <c r="E102" s="149"/>
      <c r="F102" s="474"/>
      <c r="G102" s="150"/>
      <c r="H102" s="150"/>
      <c r="K102" s="150"/>
      <c r="L102" s="150"/>
      <c r="M102" s="150"/>
      <c r="N102" s="150"/>
    </row>
    <row r="103" spans="2:14" ht="15.75" thickBot="1">
      <c r="B103" s="111">
        <v>43100</v>
      </c>
      <c r="C103" s="105" t="s">
        <v>2</v>
      </c>
      <c r="D103" s="105"/>
      <c r="E103" s="572"/>
      <c r="F103" s="112">
        <v>133.32</v>
      </c>
      <c r="G103" s="150"/>
      <c r="H103" s="663">
        <f>F83+F101+F78</f>
        <v>133.32000000000005</v>
      </c>
      <c r="K103" s="150"/>
      <c r="L103" s="150"/>
      <c r="M103" s="150"/>
      <c r="N103" s="150"/>
    </row>
    <row r="104" spans="2:14" ht="15">
      <c r="B104" s="427"/>
      <c r="C104" s="471" t="s">
        <v>362</v>
      </c>
      <c r="D104" s="471"/>
      <c r="E104" s="471"/>
      <c r="F104" s="193"/>
      <c r="G104" s="150"/>
      <c r="H104" s="560"/>
      <c r="K104" s="150"/>
      <c r="L104" s="150"/>
      <c r="M104" s="150"/>
      <c r="N104" s="150"/>
    </row>
    <row r="105" spans="2:14" ht="15">
      <c r="B105" s="427">
        <v>43104</v>
      </c>
      <c r="C105" s="471" t="s">
        <v>67</v>
      </c>
      <c r="D105" s="471"/>
      <c r="E105" s="471"/>
      <c r="F105" s="193">
        <v>-10.9</v>
      </c>
      <c r="G105" s="150"/>
      <c r="H105" s="561" t="s">
        <v>376</v>
      </c>
      <c r="K105" s="150"/>
      <c r="L105" s="150"/>
      <c r="M105" s="150"/>
      <c r="N105" s="150"/>
    </row>
    <row r="106" spans="2:14" ht="15">
      <c r="B106" s="427">
        <v>43135</v>
      </c>
      <c r="C106" s="471" t="s">
        <v>67</v>
      </c>
      <c r="D106" s="471"/>
      <c r="E106" s="471"/>
      <c r="F106" s="193">
        <v>-9.95</v>
      </c>
      <c r="G106" s="150"/>
      <c r="H106" s="561" t="s">
        <v>376</v>
      </c>
      <c r="K106" s="150"/>
      <c r="L106" s="150"/>
      <c r="M106" s="150"/>
      <c r="N106" s="150"/>
    </row>
    <row r="107" spans="2:14" ht="15">
      <c r="B107" s="427">
        <v>43161</v>
      </c>
      <c r="C107" s="471" t="s">
        <v>67</v>
      </c>
      <c r="D107" s="471"/>
      <c r="E107" s="471"/>
      <c r="F107" s="193">
        <v>-9.95</v>
      </c>
      <c r="G107" s="150"/>
      <c r="H107" s="561" t="s">
        <v>376</v>
      </c>
      <c r="K107" s="150"/>
      <c r="L107" s="150"/>
      <c r="M107" s="150"/>
      <c r="N107" s="150"/>
    </row>
    <row r="108" spans="2:14" ht="15">
      <c r="B108" s="427">
        <v>43195</v>
      </c>
      <c r="C108" s="471" t="s">
        <v>67</v>
      </c>
      <c r="D108" s="471"/>
      <c r="E108" s="471"/>
      <c r="F108" s="193">
        <v>-9.95</v>
      </c>
      <c r="G108" s="150"/>
      <c r="H108" s="560" t="s">
        <v>380</v>
      </c>
      <c r="K108" s="150"/>
      <c r="L108" s="150"/>
      <c r="M108" s="150"/>
      <c r="N108" s="150"/>
    </row>
    <row r="109" spans="2:14" ht="15">
      <c r="B109" s="427">
        <v>43224</v>
      </c>
      <c r="C109" s="471" t="s">
        <v>67</v>
      </c>
      <c r="D109" s="471"/>
      <c r="E109" s="471"/>
      <c r="F109" s="193">
        <v>-9.94</v>
      </c>
      <c r="G109" s="150"/>
      <c r="H109" s="560" t="s">
        <v>376</v>
      </c>
      <c r="K109" s="150"/>
      <c r="L109" s="150"/>
      <c r="M109" s="150"/>
      <c r="N109" s="150"/>
    </row>
    <row r="110" spans="2:14" ht="15">
      <c r="B110" s="427">
        <v>43256</v>
      </c>
      <c r="C110" s="471" t="s">
        <v>67</v>
      </c>
      <c r="D110" s="471"/>
      <c r="E110" s="471"/>
      <c r="F110" s="193">
        <v>-9.95</v>
      </c>
      <c r="G110" s="150"/>
      <c r="H110" s="560" t="s">
        <v>376</v>
      </c>
      <c r="K110" s="150"/>
      <c r="L110" s="150"/>
      <c r="M110" s="150"/>
      <c r="N110" s="150"/>
    </row>
    <row r="111" spans="2:14" ht="15">
      <c r="B111" s="427">
        <v>43285</v>
      </c>
      <c r="C111" s="471" t="s">
        <v>67</v>
      </c>
      <c r="D111" s="471"/>
      <c r="E111" s="471"/>
      <c r="F111" s="193">
        <v>-9.94</v>
      </c>
      <c r="G111" s="150"/>
      <c r="H111" s="560" t="s">
        <v>376</v>
      </c>
      <c r="K111" s="150"/>
      <c r="L111" s="150"/>
      <c r="M111" s="150"/>
      <c r="N111" s="150"/>
    </row>
    <row r="112" spans="2:14" ht="15">
      <c r="B112" s="427">
        <v>43316</v>
      </c>
      <c r="C112" s="471" t="s">
        <v>67</v>
      </c>
      <c r="D112" s="471"/>
      <c r="E112" s="471"/>
      <c r="F112" s="193">
        <v>-9.95</v>
      </c>
      <c r="G112" s="150"/>
      <c r="H112" s="560" t="s">
        <v>376</v>
      </c>
      <c r="K112" s="150"/>
      <c r="L112" s="150"/>
      <c r="M112" s="150"/>
      <c r="N112" s="150"/>
    </row>
    <row r="113" spans="2:14" ht="15">
      <c r="B113" s="427">
        <v>43347</v>
      </c>
      <c r="C113" s="471" t="s">
        <v>67</v>
      </c>
      <c r="D113" s="471"/>
      <c r="E113" s="471"/>
      <c r="F113" s="193">
        <v>-9.95</v>
      </c>
      <c r="G113" s="150"/>
      <c r="H113" s="560" t="s">
        <v>376</v>
      </c>
      <c r="K113" s="150"/>
      <c r="L113" s="150"/>
      <c r="M113" s="150"/>
      <c r="N113" s="150"/>
    </row>
    <row r="114" spans="2:14" ht="15">
      <c r="B114" s="427">
        <v>43375</v>
      </c>
      <c r="C114" s="471" t="s">
        <v>67</v>
      </c>
      <c r="D114" s="471"/>
      <c r="E114" s="471"/>
      <c r="F114" s="193">
        <v>-9.95</v>
      </c>
      <c r="G114" s="150"/>
      <c r="H114" s="560" t="s">
        <v>376</v>
      </c>
      <c r="K114" s="150"/>
      <c r="L114" s="150"/>
      <c r="M114" s="150"/>
      <c r="N114" s="150"/>
    </row>
    <row r="115" spans="2:14" ht="15">
      <c r="B115" s="427">
        <v>43407</v>
      </c>
      <c r="C115" s="471" t="s">
        <v>67</v>
      </c>
      <c r="D115" s="471"/>
      <c r="E115" s="471"/>
      <c r="F115" s="193">
        <v>-9.95</v>
      </c>
      <c r="G115" s="150"/>
      <c r="H115" s="560" t="s">
        <v>376</v>
      </c>
      <c r="K115" s="150"/>
      <c r="L115" s="150"/>
      <c r="M115" s="150"/>
      <c r="N115" s="150"/>
    </row>
    <row r="116" spans="2:14" ht="15">
      <c r="B116" s="427">
        <v>43438</v>
      </c>
      <c r="C116" s="471" t="s">
        <v>67</v>
      </c>
      <c r="D116" s="471"/>
      <c r="E116" s="471"/>
      <c r="F116" s="193">
        <v>-9.94</v>
      </c>
      <c r="G116" s="150"/>
      <c r="H116" s="560" t="s">
        <v>376</v>
      </c>
      <c r="K116" s="150"/>
      <c r="L116" s="150"/>
      <c r="M116" s="150"/>
      <c r="N116" s="150"/>
    </row>
    <row r="117" spans="2:14" ht="15">
      <c r="B117" s="427"/>
      <c r="C117" s="471"/>
      <c r="D117" s="471"/>
      <c r="E117" s="471"/>
      <c r="F117" s="193"/>
      <c r="G117" s="150"/>
      <c r="H117" s="560"/>
      <c r="K117" s="150"/>
      <c r="L117" s="150"/>
      <c r="M117" s="150"/>
      <c r="N117" s="150"/>
    </row>
    <row r="118" spans="2:14" ht="15">
      <c r="B118" s="427"/>
      <c r="C118" s="471" t="s">
        <v>364</v>
      </c>
      <c r="D118" s="471"/>
      <c r="E118" s="471"/>
      <c r="F118" s="193">
        <f>SUM(F104:F116)</f>
        <v>-120.32000000000001</v>
      </c>
      <c r="G118" s="150"/>
      <c r="H118" s="560"/>
      <c r="K118" s="150"/>
      <c r="L118" s="150"/>
      <c r="M118" s="150"/>
      <c r="N118" s="150"/>
    </row>
    <row r="119" spans="2:14" ht="15">
      <c r="B119" s="427"/>
      <c r="C119" s="471" t="s">
        <v>363</v>
      </c>
      <c r="D119" s="471"/>
      <c r="E119" s="471"/>
      <c r="F119" s="193"/>
      <c r="G119" s="150"/>
      <c r="H119" s="560"/>
      <c r="K119" s="150"/>
      <c r="L119" s="150"/>
      <c r="M119" s="150"/>
      <c r="N119" s="150"/>
    </row>
    <row r="120" spans="2:14" ht="15">
      <c r="B120" s="427">
        <v>43364</v>
      </c>
      <c r="C120" s="471" t="s">
        <v>396</v>
      </c>
      <c r="D120" s="471"/>
      <c r="E120" s="471"/>
      <c r="F120" s="193">
        <v>0.97</v>
      </c>
      <c r="G120" s="150"/>
      <c r="H120" s="561" t="s">
        <v>376</v>
      </c>
      <c r="K120" s="150"/>
      <c r="L120" s="150"/>
      <c r="M120" s="150"/>
      <c r="N120" s="150"/>
    </row>
    <row r="121" spans="2:14" ht="15">
      <c r="B121" s="427">
        <v>43367</v>
      </c>
      <c r="C121" s="471" t="s">
        <v>396</v>
      </c>
      <c r="D121" s="471"/>
      <c r="E121" s="471"/>
      <c r="F121" s="193">
        <v>0.97</v>
      </c>
      <c r="G121" s="150"/>
      <c r="H121" s="561" t="s">
        <v>376</v>
      </c>
      <c r="K121" s="150"/>
      <c r="L121" s="150"/>
      <c r="M121" s="150"/>
      <c r="N121" s="150"/>
    </row>
    <row r="122" spans="2:14" ht="15">
      <c r="B122" s="427"/>
      <c r="C122" s="471" t="s">
        <v>365</v>
      </c>
      <c r="D122" s="471"/>
      <c r="E122" s="471"/>
      <c r="F122" s="193">
        <f>SUM(F119:F121)</f>
        <v>1.94</v>
      </c>
      <c r="G122" s="150"/>
      <c r="H122" s="560"/>
      <c r="K122" s="150"/>
      <c r="L122" s="150"/>
      <c r="M122" s="150"/>
      <c r="N122" s="150"/>
    </row>
    <row r="123" spans="2:14" ht="15">
      <c r="B123" s="570">
        <f>B2</f>
        <v>43465</v>
      </c>
      <c r="C123" s="571" t="s">
        <v>2</v>
      </c>
      <c r="D123" s="571"/>
      <c r="E123" s="571"/>
      <c r="F123" s="118">
        <f>F103+F118+F122</f>
        <v>14.939999999999985</v>
      </c>
      <c r="G123" s="150"/>
      <c r="H123" s="560"/>
      <c r="K123" s="150"/>
      <c r="L123" s="150"/>
      <c r="M123" s="150"/>
      <c r="N123" s="150"/>
    </row>
    <row r="124" spans="2:14" ht="15">
      <c r="B124" s="130"/>
      <c r="C124" s="117"/>
      <c r="D124" s="117"/>
      <c r="E124" s="573"/>
      <c r="F124" s="131"/>
      <c r="G124" s="150"/>
      <c r="H124" s="560"/>
      <c r="K124" s="150"/>
      <c r="L124" s="150"/>
      <c r="M124" s="150"/>
      <c r="N124" s="150"/>
    </row>
    <row r="125" spans="2:14" ht="15" thickBot="1">
      <c r="B125" s="29"/>
      <c r="C125" s="29"/>
      <c r="D125" s="29"/>
      <c r="E125" s="29"/>
      <c r="F125" s="29"/>
      <c r="G125" s="150"/>
      <c r="H125" s="150"/>
      <c r="K125" s="150"/>
      <c r="L125" s="150"/>
      <c r="M125" s="150"/>
      <c r="N125" s="150"/>
    </row>
    <row r="126" spans="1:14" ht="15">
      <c r="A126" s="108"/>
      <c r="B126" s="432" t="s">
        <v>45</v>
      </c>
      <c r="C126" s="177"/>
      <c r="D126" s="177"/>
      <c r="E126" s="222" t="s">
        <v>113</v>
      </c>
      <c r="F126" s="179"/>
      <c r="G126" s="150"/>
      <c r="H126" s="150"/>
      <c r="I126" s="150"/>
      <c r="J126" s="150"/>
      <c r="K126" s="150"/>
      <c r="L126" s="150"/>
      <c r="M126" s="150"/>
      <c r="N126" s="150"/>
    </row>
    <row r="127" spans="2:14" ht="15">
      <c r="B127" s="129"/>
      <c r="C127" s="117" t="s">
        <v>61</v>
      </c>
      <c r="D127" s="117"/>
      <c r="E127" s="117"/>
      <c r="F127" s="173">
        <f>'project 2016'!F75</f>
        <v>2084</v>
      </c>
      <c r="G127" s="150"/>
      <c r="H127" s="401"/>
      <c r="I127" s="235"/>
      <c r="J127" s="235"/>
      <c r="K127" s="235"/>
      <c r="L127" s="235"/>
      <c r="M127" s="235"/>
      <c r="N127" s="150"/>
    </row>
    <row r="128" spans="2:14" ht="15">
      <c r="B128" s="434" t="s">
        <v>81</v>
      </c>
      <c r="C128" s="194"/>
      <c r="D128" s="176"/>
      <c r="E128" s="176"/>
      <c r="F128" s="436"/>
      <c r="G128" s="150"/>
      <c r="H128" s="401"/>
      <c r="I128" s="235"/>
      <c r="J128" s="235"/>
      <c r="K128" s="235"/>
      <c r="L128" s="235"/>
      <c r="M128" s="235"/>
      <c r="N128" s="150"/>
    </row>
    <row r="129" spans="2:14" ht="15">
      <c r="B129" s="195"/>
      <c r="C129" s="194"/>
      <c r="D129" s="176"/>
      <c r="E129" s="176"/>
      <c r="F129" s="196">
        <v>0</v>
      </c>
      <c r="G129" s="150"/>
      <c r="H129" s="401"/>
      <c r="I129" s="235"/>
      <c r="J129" s="235"/>
      <c r="K129" s="235"/>
      <c r="L129" s="235"/>
      <c r="M129" s="235"/>
      <c r="N129" s="150"/>
    </row>
    <row r="130" spans="2:14" ht="15">
      <c r="B130" s="437">
        <f>B78</f>
        <v>42735</v>
      </c>
      <c r="C130" s="263" t="str">
        <f>C78</f>
        <v>Saldo</v>
      </c>
      <c r="D130" s="189"/>
      <c r="E130" s="189"/>
      <c r="F130" s="240">
        <f>'project 2016'!F78</f>
        <v>2084</v>
      </c>
      <c r="G130" s="224"/>
      <c r="H130" s="401"/>
      <c r="I130" s="235"/>
      <c r="J130" s="235"/>
      <c r="K130" s="252"/>
      <c r="L130" s="235"/>
      <c r="M130" s="235"/>
      <c r="N130" s="150"/>
    </row>
    <row r="131" spans="2:14" ht="12.75">
      <c r="B131" s="195"/>
      <c r="C131" s="176"/>
      <c r="D131" s="176"/>
      <c r="E131" s="176"/>
      <c r="F131" s="198"/>
      <c r="G131" s="224"/>
      <c r="H131" s="401"/>
      <c r="I131" s="235"/>
      <c r="J131" s="235"/>
      <c r="K131" s="235"/>
      <c r="L131" s="235"/>
      <c r="M131" s="235"/>
      <c r="N131" s="150"/>
    </row>
    <row r="132" spans="2:14" ht="12.75">
      <c r="B132" s="672">
        <v>42787</v>
      </c>
      <c r="C132" s="371" t="s">
        <v>230</v>
      </c>
      <c r="D132" s="371"/>
      <c r="E132" s="371"/>
      <c r="F132" s="673">
        <f>-200</f>
        <v>-200</v>
      </c>
      <c r="G132" s="123"/>
      <c r="H132" s="150" t="s">
        <v>335</v>
      </c>
      <c r="I132" s="150"/>
      <c r="J132" s="150"/>
      <c r="K132" s="150"/>
      <c r="L132" s="150"/>
      <c r="M132" s="150"/>
      <c r="N132" s="150"/>
    </row>
    <row r="133" spans="2:14" ht="12.75">
      <c r="B133" s="467">
        <v>42787</v>
      </c>
      <c r="C133" s="449" t="s">
        <v>231</v>
      </c>
      <c r="D133" s="449"/>
      <c r="E133" s="449"/>
      <c r="F133" s="468">
        <f>-1884</f>
        <v>-1884</v>
      </c>
      <c r="G133" s="123"/>
      <c r="H133" s="150" t="s">
        <v>336</v>
      </c>
      <c r="I133" s="150"/>
      <c r="J133" s="150"/>
      <c r="K133" s="150"/>
      <c r="L133" s="150"/>
      <c r="M133" s="150"/>
      <c r="N133" s="150"/>
    </row>
    <row r="134" spans="2:14" ht="12.75">
      <c r="B134" s="510" t="s">
        <v>306</v>
      </c>
      <c r="C134" s="192"/>
      <c r="D134" s="192"/>
      <c r="E134" s="192"/>
      <c r="F134" s="470">
        <f>SUM(F132:F133)</f>
        <v>-2084</v>
      </c>
      <c r="G134" s="224"/>
      <c r="H134" s="150"/>
      <c r="I134" s="150"/>
      <c r="J134" s="150"/>
      <c r="K134" s="150"/>
      <c r="L134" s="150"/>
      <c r="M134" s="150"/>
      <c r="N134" s="150"/>
    </row>
    <row r="135" spans="2:14" ht="15">
      <c r="B135" s="437">
        <v>43100</v>
      </c>
      <c r="C135" s="191" t="s">
        <v>2</v>
      </c>
      <c r="D135" s="191"/>
      <c r="E135" s="186"/>
      <c r="F135" s="240">
        <f>F130+F134</f>
        <v>0</v>
      </c>
      <c r="G135" s="224"/>
      <c r="H135" s="150"/>
      <c r="I135" s="150"/>
      <c r="J135" s="150"/>
      <c r="K135" s="150"/>
      <c r="L135" s="150"/>
      <c r="M135" s="150"/>
      <c r="N135" s="150"/>
    </row>
    <row r="136" spans="2:14" ht="15.75" thickBot="1">
      <c r="B136" s="435"/>
      <c r="C136" s="661" t="s">
        <v>420</v>
      </c>
      <c r="D136" s="661"/>
      <c r="E136" s="475"/>
      <c r="F136" s="239"/>
      <c r="G136" s="224"/>
      <c r="H136" s="150"/>
      <c r="I136" s="150"/>
      <c r="J136" s="150"/>
      <c r="K136" s="150"/>
      <c r="L136" s="150"/>
      <c r="M136" s="150"/>
      <c r="N136" s="150"/>
    </row>
    <row r="137" spans="2:14" ht="13.5" thickBot="1">
      <c r="B137" s="24"/>
      <c r="C137" s="24"/>
      <c r="D137" s="24"/>
      <c r="E137" s="24"/>
      <c r="F137" s="24"/>
      <c r="G137" s="150"/>
      <c r="H137" s="150"/>
      <c r="I137" s="150"/>
      <c r="J137" s="150"/>
      <c r="K137" s="150"/>
      <c r="L137" s="150"/>
      <c r="M137" s="150"/>
      <c r="N137" s="150"/>
    </row>
    <row r="138" spans="1:14" ht="15">
      <c r="A138" s="108"/>
      <c r="B138" s="255" t="s">
        <v>95</v>
      </c>
      <c r="C138" s="203"/>
      <c r="D138" s="178"/>
      <c r="E138" s="222" t="s">
        <v>114</v>
      </c>
      <c r="F138" s="197"/>
      <c r="G138" s="150"/>
      <c r="H138" s="150"/>
      <c r="I138" s="150"/>
      <c r="J138" s="150"/>
      <c r="K138" s="150"/>
      <c r="L138" s="150"/>
      <c r="M138" s="150"/>
      <c r="N138" s="150"/>
    </row>
    <row r="139" spans="2:14" ht="15">
      <c r="B139" s="438"/>
      <c r="C139" s="131" t="s">
        <v>96</v>
      </c>
      <c r="D139" s="131"/>
      <c r="E139" s="131"/>
      <c r="F139" s="173"/>
      <c r="G139" s="150"/>
      <c r="K139" s="150"/>
      <c r="L139" s="150"/>
      <c r="M139" s="150"/>
      <c r="N139" s="150"/>
    </row>
    <row r="140" spans="2:14" ht="15">
      <c r="B140" s="438"/>
      <c r="C140" s="131" t="s">
        <v>60</v>
      </c>
      <c r="D140" s="131"/>
      <c r="E140" s="131"/>
      <c r="F140" s="173">
        <f>'project 2016'!F83</f>
        <v>-933.27</v>
      </c>
      <c r="G140" s="150"/>
      <c r="K140" s="150"/>
      <c r="L140" s="150"/>
      <c r="M140" s="150"/>
      <c r="N140" s="150"/>
    </row>
    <row r="141" spans="2:14" ht="15">
      <c r="B141" s="434" t="s">
        <v>81</v>
      </c>
      <c r="C141" s="176"/>
      <c r="D141" s="176"/>
      <c r="E141" s="176"/>
      <c r="F141" s="198"/>
      <c r="G141" s="150"/>
      <c r="H141" s="224"/>
      <c r="K141" s="150"/>
      <c r="L141" s="150"/>
      <c r="M141" s="150"/>
      <c r="N141" s="150"/>
    </row>
    <row r="142" spans="2:14" ht="15">
      <c r="B142" s="156">
        <v>42382</v>
      </c>
      <c r="C142" s="202" t="s">
        <v>97</v>
      </c>
      <c r="D142" s="202"/>
      <c r="E142" s="202"/>
      <c r="F142" s="196">
        <v>1250</v>
      </c>
      <c r="G142" s="150"/>
      <c r="H142" s="150"/>
      <c r="K142" s="150"/>
      <c r="L142" s="150"/>
      <c r="M142" s="150"/>
      <c r="N142" s="150"/>
    </row>
    <row r="143" spans="2:14" ht="12.75">
      <c r="B143" s="195"/>
      <c r="C143" s="176"/>
      <c r="D143" s="176"/>
      <c r="E143" s="176"/>
      <c r="F143" s="198"/>
      <c r="G143" s="150"/>
      <c r="H143" s="150"/>
      <c r="K143" s="150"/>
      <c r="L143" s="150"/>
      <c r="M143" s="150"/>
      <c r="N143" s="150"/>
    </row>
    <row r="144" spans="2:14" ht="15">
      <c r="B144" s="195"/>
      <c r="C144" s="201" t="s">
        <v>68</v>
      </c>
      <c r="D144" s="201"/>
      <c r="E144" s="201"/>
      <c r="F144" s="196">
        <f>F140+F142</f>
        <v>316.73</v>
      </c>
      <c r="G144" s="150"/>
      <c r="H144" s="150"/>
      <c r="K144" s="150"/>
      <c r="L144" s="150"/>
      <c r="M144" s="150"/>
      <c r="N144" s="150"/>
    </row>
    <row r="145" spans="2:14" ht="12.75">
      <c r="B145" s="195"/>
      <c r="C145" s="176"/>
      <c r="D145" s="176"/>
      <c r="E145" s="176"/>
      <c r="F145" s="198"/>
      <c r="G145" s="150"/>
      <c r="H145" s="150"/>
      <c r="K145" s="150"/>
      <c r="L145" s="150"/>
      <c r="M145" s="150"/>
      <c r="N145" s="150"/>
    </row>
    <row r="146" spans="2:14" ht="15">
      <c r="B146" s="232">
        <v>42522</v>
      </c>
      <c r="C146" s="202" t="s">
        <v>124</v>
      </c>
      <c r="D146" s="176"/>
      <c r="E146" s="176"/>
      <c r="F146" s="448">
        <v>-216.59</v>
      </c>
      <c r="G146" s="150"/>
      <c r="H146" s="150"/>
      <c r="K146" s="150"/>
      <c r="L146" s="150"/>
      <c r="M146" s="150"/>
      <c r="N146" s="150"/>
    </row>
    <row r="147" spans="2:14" ht="12.75">
      <c r="B147" s="195"/>
      <c r="C147" s="176"/>
      <c r="D147" s="176"/>
      <c r="E147" s="176"/>
      <c r="F147" s="198"/>
      <c r="G147" s="150"/>
      <c r="H147" s="150"/>
      <c r="I147" s="121"/>
      <c r="K147" s="150"/>
      <c r="L147" s="150"/>
      <c r="M147" s="150"/>
      <c r="N147" s="150"/>
    </row>
    <row r="148" spans="2:14" ht="15">
      <c r="B148" s="119">
        <f>B130</f>
        <v>42735</v>
      </c>
      <c r="C148" s="262" t="s">
        <v>2</v>
      </c>
      <c r="D148" s="262"/>
      <c r="E148" s="262"/>
      <c r="F148" s="173">
        <f>'project 2016'!F91</f>
        <v>100.14000000000001</v>
      </c>
      <c r="G148" s="150"/>
      <c r="H148" s="150"/>
      <c r="I148" s="121"/>
      <c r="K148" s="150"/>
      <c r="L148" s="150"/>
      <c r="M148" s="150"/>
      <c r="N148" s="150"/>
    </row>
    <row r="149" spans="2:14" ht="15">
      <c r="B149" s="406" t="s">
        <v>101</v>
      </c>
      <c r="C149" s="241"/>
      <c r="D149" s="241"/>
      <c r="E149" s="241"/>
      <c r="F149" s="240"/>
      <c r="G149" s="150"/>
      <c r="H149" s="150"/>
      <c r="I149" s="121"/>
      <c r="K149" s="150"/>
      <c r="L149" s="150"/>
      <c r="M149" s="150"/>
      <c r="N149" s="150"/>
    </row>
    <row r="150" spans="2:14" ht="15">
      <c r="B150" s="450">
        <v>42795</v>
      </c>
      <c r="C150" s="201" t="s">
        <v>244</v>
      </c>
      <c r="D150" s="201"/>
      <c r="E150" s="201"/>
      <c r="F150" s="196">
        <f>-68.7</f>
        <v>-68.7</v>
      </c>
      <c r="G150" s="150"/>
      <c r="H150" s="150"/>
      <c r="I150" s="256"/>
      <c r="K150" s="150"/>
      <c r="L150" s="150"/>
      <c r="M150" s="150"/>
      <c r="N150" s="150"/>
    </row>
    <row r="151" spans="2:14" ht="15">
      <c r="B151" s="406" t="s">
        <v>263</v>
      </c>
      <c r="C151" s="241"/>
      <c r="D151" s="241"/>
      <c r="E151" s="241"/>
      <c r="F151" s="240">
        <f>F150</f>
        <v>-68.7</v>
      </c>
      <c r="G151" s="150"/>
      <c r="H151" s="150"/>
      <c r="I151" s="121"/>
      <c r="K151" s="150"/>
      <c r="L151" s="150"/>
      <c r="M151" s="150"/>
      <c r="N151" s="150"/>
    </row>
    <row r="152" spans="2:14" ht="15">
      <c r="B152" s="119">
        <v>43100</v>
      </c>
      <c r="C152" s="262" t="s">
        <v>2</v>
      </c>
      <c r="D152" s="262"/>
      <c r="E152" s="262"/>
      <c r="F152" s="173">
        <v>31.44</v>
      </c>
      <c r="G152" s="150"/>
      <c r="H152" s="235"/>
      <c r="I152" s="121"/>
      <c r="K152" s="150"/>
      <c r="L152" s="150"/>
      <c r="M152" s="150"/>
      <c r="N152" s="150"/>
    </row>
    <row r="153" spans="2:14" ht="15">
      <c r="B153" s="427"/>
      <c r="C153" s="471" t="s">
        <v>362</v>
      </c>
      <c r="D153" s="471"/>
      <c r="E153" s="471"/>
      <c r="F153" s="193"/>
      <c r="G153" s="150"/>
      <c r="H153" s="150"/>
      <c r="I153" s="121"/>
      <c r="K153" s="150"/>
      <c r="L153" s="150"/>
      <c r="M153" s="150"/>
      <c r="N153" s="150"/>
    </row>
    <row r="154" spans="2:14" ht="15">
      <c r="B154" s="427"/>
      <c r="C154" s="471" t="s">
        <v>364</v>
      </c>
      <c r="D154" s="471"/>
      <c r="E154" s="471"/>
      <c r="F154" s="193">
        <f>SUM(F153:F153)</f>
        <v>0</v>
      </c>
      <c r="G154" s="150"/>
      <c r="H154" s="150"/>
      <c r="I154" s="121"/>
      <c r="K154" s="150"/>
      <c r="L154" s="150"/>
      <c r="M154" s="150"/>
      <c r="N154" s="150"/>
    </row>
    <row r="155" spans="2:14" ht="15">
      <c r="B155" s="427"/>
      <c r="C155" s="471" t="s">
        <v>363</v>
      </c>
      <c r="D155" s="471"/>
      <c r="E155" s="471"/>
      <c r="F155" s="193"/>
      <c r="G155" s="150"/>
      <c r="H155" s="150"/>
      <c r="I155" s="121"/>
      <c r="K155" s="150"/>
      <c r="L155" s="150"/>
      <c r="M155" s="150"/>
      <c r="N155" s="150"/>
    </row>
    <row r="156" spans="2:14" ht="15">
      <c r="B156" s="427"/>
      <c r="C156" s="471" t="s">
        <v>365</v>
      </c>
      <c r="D156" s="471"/>
      <c r="E156" s="471"/>
      <c r="F156" s="193">
        <f>SUM(F155:F155)</f>
        <v>0</v>
      </c>
      <c r="G156" s="150"/>
      <c r="H156" s="150"/>
      <c r="I156" s="121"/>
      <c r="K156" s="150"/>
      <c r="L156" s="150"/>
      <c r="M156" s="150"/>
      <c r="N156" s="150"/>
    </row>
    <row r="157" spans="2:14" ht="15">
      <c r="B157" s="570">
        <f>B2</f>
        <v>43465</v>
      </c>
      <c r="C157" s="571" t="s">
        <v>2</v>
      </c>
      <c r="D157" s="571"/>
      <c r="E157" s="571"/>
      <c r="F157" s="118">
        <f>F152+F154+F156</f>
        <v>31.44</v>
      </c>
      <c r="G157" s="150"/>
      <c r="H157" s="150"/>
      <c r="I157" s="121"/>
      <c r="K157" s="150"/>
      <c r="L157" s="150"/>
      <c r="M157" s="150"/>
      <c r="N157" s="150"/>
    </row>
    <row r="158" spans="2:14" ht="15.75" thickBot="1">
      <c r="B158" s="182"/>
      <c r="C158" s="164"/>
      <c r="D158" s="183"/>
      <c r="E158" s="183"/>
      <c r="F158" s="184"/>
      <c r="G158" s="150"/>
      <c r="H158" s="150"/>
      <c r="I158" s="121"/>
      <c r="K158" s="150"/>
      <c r="L158" s="150"/>
      <c r="M158" s="150"/>
      <c r="N158" s="150"/>
    </row>
    <row r="159" spans="2:14" ht="13.5" thickBot="1">
      <c r="B159" s="24"/>
      <c r="C159" s="24"/>
      <c r="D159" s="24"/>
      <c r="E159" s="24"/>
      <c r="F159" s="24"/>
      <c r="G159" s="150"/>
      <c r="H159" s="150"/>
      <c r="I159" s="121"/>
      <c r="K159" s="150"/>
      <c r="L159" s="150"/>
      <c r="M159" s="150"/>
      <c r="N159" s="150"/>
    </row>
    <row r="160" spans="2:14" ht="12.75">
      <c r="B160" s="416" t="s">
        <v>131</v>
      </c>
      <c r="C160" s="417"/>
      <c r="D160" s="417"/>
      <c r="E160" s="417"/>
      <c r="F160" s="418"/>
      <c r="G160" s="150"/>
      <c r="H160" s="150"/>
      <c r="I160" s="121"/>
      <c r="K160" s="150"/>
      <c r="L160" s="150"/>
      <c r="M160" s="150"/>
      <c r="N160" s="150"/>
    </row>
    <row r="161" spans="2:14" ht="15">
      <c r="B161" s="439" t="s">
        <v>83</v>
      </c>
      <c r="C161" s="419"/>
      <c r="D161" s="176"/>
      <c r="E161" s="420" t="s">
        <v>115</v>
      </c>
      <c r="F161" s="198"/>
      <c r="G161" s="150"/>
      <c r="H161" s="150"/>
      <c r="K161" s="150"/>
      <c r="L161" s="150"/>
      <c r="M161" s="150"/>
      <c r="N161" s="150"/>
    </row>
    <row r="162" spans="2:14" ht="18" customHeight="1">
      <c r="B162" s="406">
        <v>42004</v>
      </c>
      <c r="C162" s="421" t="s">
        <v>84</v>
      </c>
      <c r="D162" s="421"/>
      <c r="E162" s="421"/>
      <c r="F162" s="193">
        <v>0</v>
      </c>
      <c r="G162" s="150"/>
      <c r="H162" s="150"/>
      <c r="K162" s="150"/>
      <c r="L162" s="150"/>
      <c r="M162" s="150"/>
      <c r="N162" s="150"/>
    </row>
    <row r="163" spans="2:14" ht="11.25" customHeight="1">
      <c r="B163" s="440">
        <v>42343</v>
      </c>
      <c r="C163" s="131" t="s">
        <v>85</v>
      </c>
      <c r="D163" s="131" t="s">
        <v>86</v>
      </c>
      <c r="E163" s="131"/>
      <c r="F163" s="173">
        <v>5000</v>
      </c>
      <c r="G163" s="150"/>
      <c r="H163" s="150"/>
      <c r="J163">
        <v>0</v>
      </c>
      <c r="K163" s="150"/>
      <c r="L163" s="150"/>
      <c r="M163" s="150"/>
      <c r="N163" s="150"/>
    </row>
    <row r="164" spans="2:14" ht="15.75" customHeight="1">
      <c r="B164" s="438"/>
      <c r="C164" s="131" t="s">
        <v>61</v>
      </c>
      <c r="D164" s="131"/>
      <c r="E164" s="131"/>
      <c r="F164" s="173">
        <f>F163</f>
        <v>5000</v>
      </c>
      <c r="G164" s="150"/>
      <c r="H164" s="150"/>
      <c r="K164" s="150"/>
      <c r="L164" s="150"/>
      <c r="M164" s="150"/>
      <c r="N164" s="150"/>
    </row>
    <row r="165" spans="2:14" ht="18" customHeight="1">
      <c r="B165" s="434" t="s">
        <v>81</v>
      </c>
      <c r="C165" s="176"/>
      <c r="D165" s="176"/>
      <c r="E165" s="176"/>
      <c r="F165" s="198"/>
      <c r="G165" s="150"/>
      <c r="H165" s="150"/>
      <c r="J165">
        <v>7537.839999999998</v>
      </c>
      <c r="K165" s="150"/>
      <c r="L165" s="150"/>
      <c r="M165" s="150"/>
      <c r="N165" s="150"/>
    </row>
    <row r="166" spans="2:14" ht="12.75" customHeight="1">
      <c r="B166" s="156">
        <v>42424</v>
      </c>
      <c r="C166" s="202" t="s">
        <v>90</v>
      </c>
      <c r="D166" s="200"/>
      <c r="E166" s="200"/>
      <c r="F166" s="196">
        <v>10000</v>
      </c>
      <c r="G166" s="150"/>
      <c r="H166" s="150"/>
      <c r="J166">
        <v>0</v>
      </c>
      <c r="K166" s="150"/>
      <c r="L166" s="150"/>
      <c r="M166" s="150"/>
      <c r="N166" s="150"/>
    </row>
    <row r="167" spans="2:14" ht="16.5" customHeight="1">
      <c r="B167" s="156">
        <v>42424</v>
      </c>
      <c r="C167" s="200" t="s">
        <v>87</v>
      </c>
      <c r="D167" s="200"/>
      <c r="E167" s="201"/>
      <c r="F167" s="196">
        <v>5000</v>
      </c>
      <c r="G167" s="150"/>
      <c r="H167" s="150"/>
      <c r="J167">
        <v>48.66</v>
      </c>
      <c r="K167" s="150"/>
      <c r="L167" s="150"/>
      <c r="M167" s="150"/>
      <c r="N167" s="150"/>
    </row>
    <row r="168" spans="2:14" ht="12.75" customHeight="1">
      <c r="B168" s="156">
        <v>42523</v>
      </c>
      <c r="C168" s="202" t="s">
        <v>120</v>
      </c>
      <c r="D168" s="202"/>
      <c r="E168" s="201"/>
      <c r="F168" s="231">
        <v>2500</v>
      </c>
      <c r="G168" s="150"/>
      <c r="H168" s="150"/>
      <c r="J168">
        <v>0</v>
      </c>
      <c r="K168" s="150"/>
      <c r="L168" s="150"/>
      <c r="M168" s="150"/>
      <c r="N168" s="150"/>
    </row>
    <row r="169" spans="2:14" ht="16.5" customHeight="1">
      <c r="B169" s="156">
        <v>42536</v>
      </c>
      <c r="C169" s="202" t="s">
        <v>123</v>
      </c>
      <c r="D169" s="202"/>
      <c r="E169" s="201"/>
      <c r="F169" s="231">
        <v>1500</v>
      </c>
      <c r="G169" s="150"/>
      <c r="H169" s="150"/>
      <c r="K169" s="150"/>
      <c r="L169" s="150"/>
      <c r="M169" s="150"/>
      <c r="N169" s="150"/>
    </row>
    <row r="170" spans="2:14" ht="11.25" customHeight="1">
      <c r="B170" s="233" t="s">
        <v>147</v>
      </c>
      <c r="C170" s="202" t="s">
        <v>146</v>
      </c>
      <c r="D170" s="202"/>
      <c r="E170" s="202"/>
      <c r="F170" s="231">
        <v>950</v>
      </c>
      <c r="G170" s="150"/>
      <c r="H170" s="150"/>
      <c r="J170">
        <v>926</v>
      </c>
      <c r="K170" s="150"/>
      <c r="L170" s="150"/>
      <c r="M170" s="150"/>
      <c r="N170" s="150"/>
    </row>
    <row r="171" spans="2:14" ht="15" customHeight="1">
      <c r="B171" s="156"/>
      <c r="C171" s="262" t="s">
        <v>151</v>
      </c>
      <c r="D171" s="262"/>
      <c r="E171" s="262"/>
      <c r="F171" s="173">
        <f>SUM(F166:F170)</f>
        <v>19950</v>
      </c>
      <c r="G171" s="150"/>
      <c r="H171" s="150"/>
      <c r="K171" s="150"/>
      <c r="L171" s="150"/>
      <c r="M171" s="150"/>
      <c r="N171" s="150"/>
    </row>
    <row r="172" spans="2:14" ht="15" customHeight="1">
      <c r="B172" s="156"/>
      <c r="C172" s="201"/>
      <c r="D172" s="201"/>
      <c r="E172" s="201"/>
      <c r="F172" s="196"/>
      <c r="G172" s="150"/>
      <c r="H172" s="150"/>
      <c r="K172" s="150"/>
      <c r="L172" s="150"/>
      <c r="M172" s="150"/>
      <c r="N172" s="150"/>
    </row>
    <row r="173" spans="2:14" ht="19.5" customHeight="1">
      <c r="B173" s="156">
        <v>42515</v>
      </c>
      <c r="C173" s="201" t="s">
        <v>128</v>
      </c>
      <c r="D173" s="201"/>
      <c r="E173" s="201"/>
      <c r="F173" s="196">
        <f>-907.5</f>
        <v>-907.5</v>
      </c>
      <c r="G173" s="150"/>
      <c r="H173" s="150"/>
      <c r="K173" s="150"/>
      <c r="L173" s="150"/>
      <c r="M173" s="150"/>
      <c r="N173" s="150"/>
    </row>
    <row r="174" spans="2:14" ht="15" customHeight="1">
      <c r="B174" s="156">
        <v>42612</v>
      </c>
      <c r="C174" s="201" t="s">
        <v>127</v>
      </c>
      <c r="D174" s="201"/>
      <c r="E174" s="201"/>
      <c r="F174" s="196">
        <f>-5248.38</f>
        <v>-5248.38</v>
      </c>
      <c r="G174" s="150"/>
      <c r="H174" s="150"/>
      <c r="K174" s="150"/>
      <c r="L174" s="150"/>
      <c r="M174" s="150"/>
      <c r="N174" s="150"/>
    </row>
    <row r="175" spans="2:14" ht="16.5" customHeight="1">
      <c r="B175" s="156"/>
      <c r="C175" s="201"/>
      <c r="D175" s="201"/>
      <c r="E175" s="201"/>
      <c r="F175" s="196"/>
      <c r="G175" s="150"/>
      <c r="H175" s="150"/>
      <c r="K175" s="150"/>
      <c r="L175" s="150"/>
      <c r="M175" s="150"/>
      <c r="N175" s="150"/>
    </row>
    <row r="176" spans="2:14" ht="19.5" customHeight="1">
      <c r="B176" s="156">
        <v>42612</v>
      </c>
      <c r="C176" s="201" t="s">
        <v>135</v>
      </c>
      <c r="D176" s="201"/>
      <c r="E176" s="201"/>
      <c r="F176" s="196">
        <f>-201.95</f>
        <v>-201.95</v>
      </c>
      <c r="G176" s="150"/>
      <c r="H176" s="150"/>
      <c r="K176" s="150"/>
      <c r="L176" s="150"/>
      <c r="M176" s="150"/>
      <c r="N176" s="150"/>
    </row>
    <row r="177" spans="2:14" ht="21" customHeight="1">
      <c r="B177" s="156">
        <v>42615</v>
      </c>
      <c r="C177" s="201" t="s">
        <v>136</v>
      </c>
      <c r="D177" s="201"/>
      <c r="E177" s="201"/>
      <c r="F177" s="196">
        <f>-9709.6</f>
        <v>-9709.6</v>
      </c>
      <c r="G177" s="150"/>
      <c r="H177" s="150"/>
      <c r="K177" s="150"/>
      <c r="L177" s="150"/>
      <c r="M177" s="150"/>
      <c r="N177" s="150"/>
    </row>
    <row r="178" spans="2:14" ht="17.25" customHeight="1">
      <c r="B178" s="156">
        <v>42621</v>
      </c>
      <c r="C178" s="201" t="s">
        <v>138</v>
      </c>
      <c r="D178" s="201"/>
      <c r="E178" s="201"/>
      <c r="F178" s="196">
        <v>-96.61</v>
      </c>
      <c r="G178" s="150"/>
      <c r="H178" s="150"/>
      <c r="K178" s="150"/>
      <c r="L178" s="150"/>
      <c r="M178" s="150"/>
      <c r="N178" s="150"/>
    </row>
    <row r="179" spans="2:14" ht="16.5" customHeight="1">
      <c r="B179" s="233">
        <v>42648</v>
      </c>
      <c r="C179" s="201" t="s">
        <v>137</v>
      </c>
      <c r="D179" s="201"/>
      <c r="E179" s="201"/>
      <c r="F179" s="196">
        <v>-393.45</v>
      </c>
      <c r="G179" s="150"/>
      <c r="H179" s="235"/>
      <c r="K179" s="150"/>
      <c r="L179" s="150"/>
      <c r="M179" s="150"/>
      <c r="N179" s="150"/>
    </row>
    <row r="180" spans="2:14" ht="17.25" customHeight="1">
      <c r="B180" s="233">
        <v>42697</v>
      </c>
      <c r="C180" s="201" t="s">
        <v>136</v>
      </c>
      <c r="D180" s="201"/>
      <c r="E180" s="201"/>
      <c r="F180" s="196">
        <v>-54.45</v>
      </c>
      <c r="G180" s="150"/>
      <c r="H180" s="235"/>
      <c r="K180" s="150"/>
      <c r="L180" s="150"/>
      <c r="M180" s="150"/>
      <c r="N180" s="150"/>
    </row>
    <row r="181" spans="2:14" ht="11.25" customHeight="1">
      <c r="B181" s="233">
        <v>42704</v>
      </c>
      <c r="C181" s="201" t="s">
        <v>143</v>
      </c>
      <c r="D181" s="201"/>
      <c r="E181" s="201"/>
      <c r="F181" s="196">
        <v>-299.48</v>
      </c>
      <c r="G181" s="150"/>
      <c r="H181" s="235"/>
      <c r="K181" s="150"/>
      <c r="L181" s="150"/>
      <c r="M181" s="150"/>
      <c r="N181" s="150"/>
    </row>
    <row r="182" spans="2:14" ht="18" customHeight="1">
      <c r="B182" s="233">
        <v>42716</v>
      </c>
      <c r="C182" s="201" t="s">
        <v>155</v>
      </c>
      <c r="D182" s="201"/>
      <c r="E182" s="201"/>
      <c r="F182" s="196">
        <f>-225</f>
        <v>-225</v>
      </c>
      <c r="G182" s="150"/>
      <c r="H182" s="235"/>
      <c r="K182" s="150"/>
      <c r="L182" s="150"/>
      <c r="M182" s="150"/>
      <c r="N182" s="150"/>
    </row>
    <row r="183" spans="2:14" ht="16.5" customHeight="1">
      <c r="B183" s="233">
        <v>42724</v>
      </c>
      <c r="C183" s="202" t="s">
        <v>156</v>
      </c>
      <c r="D183" s="202"/>
      <c r="E183" s="202"/>
      <c r="F183" s="196">
        <v>-105.27</v>
      </c>
      <c r="G183" s="150"/>
      <c r="H183" s="235"/>
      <c r="K183" s="150"/>
      <c r="L183" s="150"/>
      <c r="M183" s="150"/>
      <c r="N183" s="150"/>
    </row>
    <row r="184" spans="2:14" ht="21.75" customHeight="1">
      <c r="B184" s="233"/>
      <c r="C184" s="262"/>
      <c r="D184" s="262"/>
      <c r="E184" s="262"/>
      <c r="F184" s="173"/>
      <c r="G184" s="150"/>
      <c r="H184" s="235"/>
      <c r="K184" s="150"/>
      <c r="L184" s="150"/>
      <c r="M184" s="150"/>
      <c r="N184" s="150"/>
    </row>
    <row r="185" spans="2:14" ht="15" customHeight="1">
      <c r="B185" s="233"/>
      <c r="C185" s="262" t="s">
        <v>157</v>
      </c>
      <c r="D185" s="262"/>
      <c r="E185" s="262"/>
      <c r="F185" s="173">
        <f>SUM(F173:F183)</f>
        <v>-17241.690000000002</v>
      </c>
      <c r="G185" s="150"/>
      <c r="H185" s="235"/>
      <c r="K185" s="150"/>
      <c r="L185" s="150"/>
      <c r="M185" s="150"/>
      <c r="N185" s="150"/>
    </row>
    <row r="186" spans="2:14" ht="22.5" customHeight="1">
      <c r="B186" s="233">
        <v>42731</v>
      </c>
      <c r="C186" s="262" t="s">
        <v>164</v>
      </c>
      <c r="D186" s="262"/>
      <c r="E186" s="262"/>
      <c r="F186" s="173">
        <v>40</v>
      </c>
      <c r="G186" s="122"/>
      <c r="H186" s="235" t="s">
        <v>326</v>
      </c>
      <c r="I186" s="559">
        <v>43125</v>
      </c>
      <c r="J186" t="s">
        <v>328</v>
      </c>
      <c r="K186" s="150"/>
      <c r="L186" s="150"/>
      <c r="M186" s="150"/>
      <c r="N186" s="150"/>
    </row>
    <row r="187" spans="2:14" ht="18" customHeight="1">
      <c r="B187" s="233">
        <v>42731</v>
      </c>
      <c r="C187" s="262" t="s">
        <v>164</v>
      </c>
      <c r="D187" s="262"/>
      <c r="E187" s="262"/>
      <c r="F187" s="173">
        <v>405</v>
      </c>
      <c r="G187" s="122"/>
      <c r="H187" s="235" t="s">
        <v>327</v>
      </c>
      <c r="I187" s="559">
        <v>43125</v>
      </c>
      <c r="J187" t="s">
        <v>328</v>
      </c>
      <c r="K187" s="150"/>
      <c r="L187" s="150"/>
      <c r="M187" s="150"/>
      <c r="N187" s="150"/>
    </row>
    <row r="188" spans="2:14" ht="28.5" customHeight="1">
      <c r="B188" s="406">
        <f>B148</f>
        <v>42735</v>
      </c>
      <c r="C188" s="241" t="str">
        <f>C148</f>
        <v>Saldo</v>
      </c>
      <c r="D188" s="241"/>
      <c r="E188" s="241"/>
      <c r="F188" s="240">
        <f>'project 2016'!F122</f>
        <v>8153.309999999998</v>
      </c>
      <c r="G188" s="150"/>
      <c r="H188" s="235"/>
      <c r="K188" s="150"/>
      <c r="L188" s="150"/>
      <c r="M188" s="150"/>
      <c r="N188" s="150"/>
    </row>
    <row r="189" spans="2:14" ht="21.75" customHeight="1">
      <c r="B189" s="450" t="s">
        <v>100</v>
      </c>
      <c r="C189" s="201"/>
      <c r="D189" s="201"/>
      <c r="E189" s="201"/>
      <c r="F189" s="196"/>
      <c r="G189" s="150"/>
      <c r="H189" s="235"/>
      <c r="K189" s="150"/>
      <c r="L189" s="150"/>
      <c r="M189" s="150"/>
      <c r="N189" s="150"/>
    </row>
    <row r="190" spans="2:14" ht="20.25" customHeight="1">
      <c r="B190" s="450">
        <v>42736</v>
      </c>
      <c r="C190" s="201" t="s">
        <v>59</v>
      </c>
      <c r="D190" s="201"/>
      <c r="E190" s="201"/>
      <c r="F190" s="196">
        <v>13.29</v>
      </c>
      <c r="G190" s="122"/>
      <c r="H190" s="235" t="s">
        <v>330</v>
      </c>
      <c r="K190" s="150"/>
      <c r="L190" s="150"/>
      <c r="M190" s="150"/>
      <c r="N190" s="150"/>
    </row>
    <row r="191" spans="2:14" ht="13.5" customHeight="1">
      <c r="B191" s="450">
        <v>42926</v>
      </c>
      <c r="C191" s="201" t="s">
        <v>164</v>
      </c>
      <c r="D191" s="201"/>
      <c r="E191" s="201"/>
      <c r="F191" s="196">
        <v>60</v>
      </c>
      <c r="G191" s="122"/>
      <c r="H191" s="235" t="s">
        <v>330</v>
      </c>
      <c r="K191" s="150"/>
      <c r="L191" s="150"/>
      <c r="M191" s="150"/>
      <c r="N191" s="150"/>
    </row>
    <row r="192" spans="2:14" ht="18.75" customHeight="1">
      <c r="B192" s="450">
        <v>43056</v>
      </c>
      <c r="C192" s="201" t="s">
        <v>282</v>
      </c>
      <c r="D192" s="201"/>
      <c r="E192" s="201"/>
      <c r="F192" s="196">
        <v>30</v>
      </c>
      <c r="G192" s="122"/>
      <c r="H192" s="235" t="s">
        <v>330</v>
      </c>
      <c r="K192" s="150"/>
      <c r="L192" s="150"/>
      <c r="M192" s="150"/>
      <c r="N192" s="150"/>
    </row>
    <row r="193" spans="2:14" ht="17.25" customHeight="1">
      <c r="B193" s="119" t="s">
        <v>303</v>
      </c>
      <c r="C193" s="262"/>
      <c r="D193" s="262"/>
      <c r="E193" s="262"/>
      <c r="F193" s="173">
        <f>SUM(F190:F192)</f>
        <v>103.28999999999999</v>
      </c>
      <c r="G193" s="150"/>
      <c r="H193" s="235"/>
      <c r="K193" s="150"/>
      <c r="L193" s="150"/>
      <c r="M193" s="150"/>
      <c r="N193" s="150"/>
    </row>
    <row r="194" spans="2:14" ht="15.75" customHeight="1">
      <c r="B194" s="450" t="s">
        <v>101</v>
      </c>
      <c r="C194" s="201"/>
      <c r="D194" s="201"/>
      <c r="E194" s="201"/>
      <c r="F194" s="196"/>
      <c r="G194" s="150"/>
      <c r="H194" s="235"/>
      <c r="K194" s="150"/>
      <c r="L194" s="150"/>
      <c r="M194" s="150"/>
      <c r="N194" s="150"/>
    </row>
    <row r="195" spans="2:14" ht="21" customHeight="1">
      <c r="B195" s="450">
        <v>42787</v>
      </c>
      <c r="C195" s="201" t="s">
        <v>238</v>
      </c>
      <c r="D195" s="201"/>
      <c r="E195" s="201"/>
      <c r="F195" s="196">
        <f>-F190</f>
        <v>-13.29</v>
      </c>
      <c r="G195" s="122"/>
      <c r="H195" s="235" t="s">
        <v>335</v>
      </c>
      <c r="K195" s="150"/>
      <c r="L195" s="150"/>
      <c r="M195" s="150"/>
      <c r="N195" s="150"/>
    </row>
    <row r="196" spans="2:14" ht="20.25" customHeight="1">
      <c r="B196" s="450">
        <v>42885</v>
      </c>
      <c r="C196" s="201" t="s">
        <v>253</v>
      </c>
      <c r="D196" s="201" t="s">
        <v>254</v>
      </c>
      <c r="E196" s="201"/>
      <c r="F196" s="196">
        <v>-326.7</v>
      </c>
      <c r="G196" s="122"/>
      <c r="H196" s="252" t="s">
        <v>342</v>
      </c>
      <c r="I196" s="7" t="s">
        <v>339</v>
      </c>
      <c r="J196" s="132"/>
      <c r="K196" s="150"/>
      <c r="L196" s="150"/>
      <c r="M196" s="150"/>
      <c r="N196" s="150"/>
    </row>
    <row r="197" spans="2:14" ht="15.75" customHeight="1">
      <c r="B197" s="450">
        <v>42926</v>
      </c>
      <c r="C197" s="201" t="s">
        <v>253</v>
      </c>
      <c r="D197" s="201"/>
      <c r="E197" s="201"/>
      <c r="F197" s="196">
        <v>-159.72</v>
      </c>
      <c r="G197" s="122"/>
      <c r="H197" s="252" t="s">
        <v>342</v>
      </c>
      <c r="I197" s="567" t="s">
        <v>353</v>
      </c>
      <c r="J197" s="476" t="s">
        <v>83</v>
      </c>
      <c r="K197" s="150"/>
      <c r="L197" s="150"/>
      <c r="M197" s="150"/>
      <c r="N197" s="150"/>
    </row>
    <row r="198" spans="2:14" ht="29.25" customHeight="1">
      <c r="B198" s="450">
        <v>43025</v>
      </c>
      <c r="C198" s="201" t="s">
        <v>253</v>
      </c>
      <c r="D198" s="201"/>
      <c r="E198" s="201"/>
      <c r="F198" s="196">
        <v>-127.05</v>
      </c>
      <c r="G198" s="122"/>
      <c r="H198" s="252" t="s">
        <v>342</v>
      </c>
      <c r="I198" s="567" t="s">
        <v>353</v>
      </c>
      <c r="J198" s="476" t="s">
        <v>83</v>
      </c>
      <c r="K198" s="150"/>
      <c r="L198" s="150"/>
      <c r="M198" s="150"/>
      <c r="N198" s="150"/>
    </row>
    <row r="199" spans="2:14" ht="11.25" customHeight="1">
      <c r="B199" s="450">
        <v>43025</v>
      </c>
      <c r="C199" s="201" t="s">
        <v>274</v>
      </c>
      <c r="D199" s="201"/>
      <c r="E199" s="201"/>
      <c r="F199" s="196">
        <v>-92</v>
      </c>
      <c r="G199" s="122"/>
      <c r="H199" s="235" t="s">
        <v>331</v>
      </c>
      <c r="I199" s="235"/>
      <c r="K199" s="150"/>
      <c r="L199" s="150"/>
      <c r="M199" s="150"/>
      <c r="N199" s="150"/>
    </row>
    <row r="200" spans="2:14" ht="33" customHeight="1">
      <c r="B200" s="119" t="s">
        <v>304</v>
      </c>
      <c r="C200" s="262"/>
      <c r="D200" s="262"/>
      <c r="E200" s="262"/>
      <c r="F200" s="173">
        <f>SUM(F195:F199)</f>
        <v>-718.76</v>
      </c>
      <c r="G200" s="150"/>
      <c r="H200" s="235"/>
      <c r="K200" s="150"/>
      <c r="L200" s="150"/>
      <c r="M200" s="150"/>
      <c r="N200" s="150"/>
    </row>
    <row r="201" spans="2:14" ht="15">
      <c r="B201" s="450">
        <v>43100</v>
      </c>
      <c r="C201" s="241" t="s">
        <v>422</v>
      </c>
      <c r="D201" s="241"/>
      <c r="E201" s="241"/>
      <c r="F201" s="240">
        <v>7537.84</v>
      </c>
      <c r="G201" s="150"/>
      <c r="H201" s="235"/>
      <c r="K201" s="150"/>
      <c r="L201" s="150"/>
      <c r="M201" s="150"/>
      <c r="N201" s="150"/>
    </row>
    <row r="202" spans="2:14" ht="15">
      <c r="B202" s="427"/>
      <c r="C202" s="471" t="s">
        <v>362</v>
      </c>
      <c r="D202" s="471"/>
      <c r="E202" s="471"/>
      <c r="F202" s="193"/>
      <c r="G202" s="150"/>
      <c r="H202" s="235"/>
      <c r="K202" s="150"/>
      <c r="L202" s="150"/>
      <c r="M202" s="150"/>
      <c r="N202" s="150"/>
    </row>
    <row r="203" spans="2:14" ht="15">
      <c r="B203" s="427">
        <v>43234</v>
      </c>
      <c r="C203" s="471" t="s">
        <v>381</v>
      </c>
      <c r="D203" s="471"/>
      <c r="E203" s="471"/>
      <c r="F203" s="193">
        <v>-186.2</v>
      </c>
      <c r="G203" s="150"/>
      <c r="H203" s="694"/>
      <c r="K203" s="150"/>
      <c r="L203" s="150"/>
      <c r="M203" s="150"/>
      <c r="N203" s="150"/>
    </row>
    <row r="204" spans="2:14" ht="15">
      <c r="B204" s="427">
        <v>43285</v>
      </c>
      <c r="C204" s="471" t="s">
        <v>388</v>
      </c>
      <c r="D204" s="471"/>
      <c r="E204" s="471"/>
      <c r="F204" s="193">
        <v>-71.09</v>
      </c>
      <c r="G204" s="150"/>
      <c r="H204" s="252" t="s">
        <v>460</v>
      </c>
      <c r="K204" s="150"/>
      <c r="L204" s="150"/>
      <c r="M204" s="150"/>
      <c r="N204" s="150"/>
    </row>
    <row r="205" spans="2:14" ht="15">
      <c r="B205" s="427">
        <v>43285</v>
      </c>
      <c r="C205" s="471" t="s">
        <v>389</v>
      </c>
      <c r="D205" s="471"/>
      <c r="E205" s="471"/>
      <c r="F205" s="193">
        <v>-24.75</v>
      </c>
      <c r="G205" s="150"/>
      <c r="H205" s="694"/>
      <c r="K205" s="150"/>
      <c r="L205" s="150"/>
      <c r="M205" s="150"/>
      <c r="N205" s="150"/>
    </row>
    <row r="206" spans="2:14" ht="15">
      <c r="B206" s="427">
        <v>43289</v>
      </c>
      <c r="C206" s="471" t="s">
        <v>390</v>
      </c>
      <c r="D206" s="471"/>
      <c r="E206" s="471"/>
      <c r="F206" s="193">
        <v>-326.7</v>
      </c>
      <c r="G206" s="150"/>
      <c r="H206" s="252" t="s">
        <v>378</v>
      </c>
      <c r="K206" s="150"/>
      <c r="L206" s="150"/>
      <c r="M206" s="150"/>
      <c r="N206" s="150"/>
    </row>
    <row r="207" spans="2:14" ht="15">
      <c r="B207" s="427">
        <v>43290</v>
      </c>
      <c r="C207" s="471" t="s">
        <v>391</v>
      </c>
      <c r="D207" s="471"/>
      <c r="E207" s="471"/>
      <c r="F207" s="193">
        <v>-97.28</v>
      </c>
      <c r="G207" s="150"/>
      <c r="H207" s="694"/>
      <c r="K207" s="150"/>
      <c r="L207" s="150"/>
      <c r="M207" s="150"/>
      <c r="N207" s="150"/>
    </row>
    <row r="208" spans="2:14" ht="15">
      <c r="B208" s="427">
        <v>43297</v>
      </c>
      <c r="C208" s="471" t="s">
        <v>392</v>
      </c>
      <c r="D208" s="471"/>
      <c r="E208" s="471"/>
      <c r="F208" s="193">
        <v>-504.57</v>
      </c>
      <c r="G208" s="150"/>
      <c r="H208" s="252" t="s">
        <v>378</v>
      </c>
      <c r="K208" s="150"/>
      <c r="L208" s="150"/>
      <c r="M208" s="150"/>
      <c r="N208" s="150"/>
    </row>
    <row r="209" spans="2:14" ht="15">
      <c r="B209" s="427">
        <v>43300</v>
      </c>
      <c r="C209" s="471" t="s">
        <v>394</v>
      </c>
      <c r="D209" s="471"/>
      <c r="E209" s="471"/>
      <c r="F209" s="193">
        <v>-150</v>
      </c>
      <c r="G209" s="150"/>
      <c r="H209" s="694"/>
      <c r="K209" s="150"/>
      <c r="L209" s="150"/>
      <c r="M209" s="150"/>
      <c r="N209" s="150"/>
    </row>
    <row r="210" spans="2:14" ht="15">
      <c r="B210" s="427">
        <v>43375</v>
      </c>
      <c r="C210" s="471" t="s">
        <v>395</v>
      </c>
      <c r="D210" s="471"/>
      <c r="E210" s="471"/>
      <c r="F210" s="193">
        <v>-549.08</v>
      </c>
      <c r="G210" s="150"/>
      <c r="H210" s="694"/>
      <c r="K210" s="150"/>
      <c r="L210" s="150"/>
      <c r="M210" s="150"/>
      <c r="N210" s="150"/>
    </row>
    <row r="211" spans="2:14" ht="15">
      <c r="B211" s="427">
        <v>43382</v>
      </c>
      <c r="C211" s="471" t="s">
        <v>397</v>
      </c>
      <c r="D211" s="471"/>
      <c r="E211" s="471"/>
      <c r="F211" s="193">
        <v>-48</v>
      </c>
      <c r="G211" s="150"/>
      <c r="H211" s="252" t="s">
        <v>378</v>
      </c>
      <c r="K211" s="150"/>
      <c r="L211" s="150"/>
      <c r="M211" s="150"/>
      <c r="N211" s="150"/>
    </row>
    <row r="212" spans="2:14" ht="15">
      <c r="B212" s="427">
        <v>43388</v>
      </c>
      <c r="C212" s="471" t="s">
        <v>399</v>
      </c>
      <c r="D212" s="471"/>
      <c r="E212" s="471"/>
      <c r="F212" s="193">
        <v>-202.58</v>
      </c>
      <c r="G212" s="150"/>
      <c r="H212" s="235" t="s">
        <v>400</v>
      </c>
      <c r="K212" s="150"/>
      <c r="L212" s="150"/>
      <c r="M212" s="150"/>
      <c r="N212" s="150"/>
    </row>
    <row r="213" spans="2:14" ht="15">
      <c r="B213" s="427">
        <v>43405</v>
      </c>
      <c r="C213" s="471" t="s">
        <v>401</v>
      </c>
      <c r="D213" s="471"/>
      <c r="E213" s="471"/>
      <c r="F213" s="193">
        <v>-315.6</v>
      </c>
      <c r="G213" s="150"/>
      <c r="H213" s="694"/>
      <c r="K213" s="150"/>
      <c r="L213" s="150"/>
      <c r="M213" s="150"/>
      <c r="N213" s="150"/>
    </row>
    <row r="214" spans="2:14" ht="15">
      <c r="B214" s="427"/>
      <c r="C214" s="471"/>
      <c r="D214" s="471"/>
      <c r="E214" s="471"/>
      <c r="F214" s="193"/>
      <c r="G214" s="150"/>
      <c r="H214" s="235"/>
      <c r="K214" s="150"/>
      <c r="L214" s="150"/>
      <c r="M214" s="150"/>
      <c r="N214" s="150"/>
    </row>
    <row r="215" spans="2:14" ht="15">
      <c r="B215" s="427"/>
      <c r="C215" s="471" t="s">
        <v>364</v>
      </c>
      <c r="D215" s="471"/>
      <c r="E215" s="471"/>
      <c r="F215" s="193">
        <f>SUM(F202:F213)</f>
        <v>-2475.85</v>
      </c>
      <c r="G215" s="150"/>
      <c r="H215" s="235"/>
      <c r="K215" s="150"/>
      <c r="L215" s="150"/>
      <c r="M215" s="150"/>
      <c r="N215" s="150"/>
    </row>
    <row r="216" spans="2:14" ht="15">
      <c r="B216" s="427"/>
      <c r="C216" s="471" t="s">
        <v>363</v>
      </c>
      <c r="D216" s="471"/>
      <c r="E216" s="471"/>
      <c r="F216" s="193"/>
      <c r="G216" s="150"/>
      <c r="H216" s="235"/>
      <c r="K216" s="150"/>
      <c r="L216" s="150"/>
      <c r="M216" s="150"/>
      <c r="N216" s="150"/>
    </row>
    <row r="217" spans="2:14" ht="15">
      <c r="B217" s="427">
        <v>43101</v>
      </c>
      <c r="C217" s="471" t="s">
        <v>59</v>
      </c>
      <c r="D217" s="471"/>
      <c r="E217" s="471"/>
      <c r="F217" s="193">
        <v>1.68</v>
      </c>
      <c r="G217" s="150"/>
      <c r="H217" s="252" t="s">
        <v>376</v>
      </c>
      <c r="K217" s="150"/>
      <c r="L217" s="150"/>
      <c r="M217" s="150"/>
      <c r="N217" s="150"/>
    </row>
    <row r="218" spans="2:14" ht="15">
      <c r="B218" s="427"/>
      <c r="C218" s="471"/>
      <c r="D218" s="471"/>
      <c r="E218" s="471"/>
      <c r="F218" s="193"/>
      <c r="G218" s="150"/>
      <c r="H218" s="235"/>
      <c r="K218" s="150"/>
      <c r="L218" s="150"/>
      <c r="M218" s="150"/>
      <c r="N218" s="150"/>
    </row>
    <row r="219" spans="2:14" ht="15">
      <c r="B219" s="427"/>
      <c r="C219" s="471" t="s">
        <v>365</v>
      </c>
      <c r="D219" s="471"/>
      <c r="E219" s="471"/>
      <c r="F219" s="193">
        <f>SUM(F216:F218)</f>
        <v>1.68</v>
      </c>
      <c r="G219" s="150"/>
      <c r="H219" s="235"/>
      <c r="K219" s="150"/>
      <c r="L219" s="150"/>
      <c r="M219" s="150"/>
      <c r="N219" s="150"/>
    </row>
    <row r="220" spans="2:14" ht="15">
      <c r="B220" s="570">
        <f>B2</f>
        <v>43465</v>
      </c>
      <c r="C220" s="571" t="s">
        <v>2</v>
      </c>
      <c r="D220" s="571"/>
      <c r="E220" s="571"/>
      <c r="F220" s="118">
        <f>F201+F215+F219</f>
        <v>5063.67</v>
      </c>
      <c r="G220" s="150"/>
      <c r="H220" s="235"/>
      <c r="K220" s="150"/>
      <c r="L220" s="150"/>
      <c r="M220" s="150"/>
      <c r="N220" s="150"/>
    </row>
    <row r="221" spans="2:14" ht="15.75" thickBot="1">
      <c r="B221" s="182"/>
      <c r="C221" s="164"/>
      <c r="D221" s="183"/>
      <c r="E221" s="183"/>
      <c r="F221" s="184"/>
      <c r="G221" s="150"/>
      <c r="H221" s="235"/>
      <c r="K221" s="150"/>
      <c r="L221" s="150"/>
      <c r="M221" s="150"/>
      <c r="N221" s="150"/>
    </row>
    <row r="222" spans="1:14" ht="15">
      <c r="A222" s="121"/>
      <c r="B222" s="228"/>
      <c r="C222" s="230"/>
      <c r="D222" s="230"/>
      <c r="E222" s="230"/>
      <c r="F222" s="227"/>
      <c r="G222" s="150"/>
      <c r="H222" s="150"/>
      <c r="K222" s="150"/>
      <c r="L222" s="150"/>
      <c r="M222" s="150"/>
      <c r="N222" s="150"/>
    </row>
    <row r="223" spans="2:14" ht="13.5" thickBot="1">
      <c r="B223" s="24"/>
      <c r="C223" s="24"/>
      <c r="D223" s="24"/>
      <c r="E223" s="24"/>
      <c r="F223" s="24"/>
      <c r="G223" s="150"/>
      <c r="H223" s="150"/>
      <c r="K223" s="150"/>
      <c r="L223" s="150"/>
      <c r="M223" s="150"/>
      <c r="N223" s="150"/>
    </row>
    <row r="224" spans="1:14" ht="15">
      <c r="A224" s="108"/>
      <c r="B224" s="255" t="s">
        <v>88</v>
      </c>
      <c r="C224" s="203"/>
      <c r="D224" s="203"/>
      <c r="E224" s="443" t="s">
        <v>116</v>
      </c>
      <c r="F224" s="444"/>
      <c r="G224" s="150"/>
      <c r="H224" s="150"/>
      <c r="K224" s="150"/>
      <c r="L224" s="150"/>
      <c r="M224" s="150"/>
      <c r="N224" s="150"/>
    </row>
    <row r="225" spans="2:14" ht="1.5" customHeight="1">
      <c r="B225" s="438"/>
      <c r="C225" s="131" t="s">
        <v>60</v>
      </c>
      <c r="D225" s="131"/>
      <c r="E225" s="131"/>
      <c r="F225" s="173">
        <v>0</v>
      </c>
      <c r="G225" s="150"/>
      <c r="H225" s="150"/>
      <c r="K225" s="150"/>
      <c r="L225" s="150"/>
      <c r="M225" s="150"/>
      <c r="N225" s="150"/>
    </row>
    <row r="226" spans="2:14" ht="15" hidden="1">
      <c r="B226" s="434" t="s">
        <v>81</v>
      </c>
      <c r="C226" s="424"/>
      <c r="D226" s="176"/>
      <c r="E226" s="176"/>
      <c r="F226" s="198"/>
      <c r="G226" s="150"/>
      <c r="H226" s="150"/>
      <c r="K226" s="150"/>
      <c r="L226" s="150"/>
      <c r="M226" s="150"/>
      <c r="N226" s="150"/>
    </row>
    <row r="227" spans="2:14" ht="15" hidden="1">
      <c r="B227" s="156">
        <v>42466</v>
      </c>
      <c r="C227" s="202" t="s">
        <v>89</v>
      </c>
      <c r="D227" s="202"/>
      <c r="E227" s="202"/>
      <c r="F227" s="196">
        <v>1500</v>
      </c>
      <c r="G227" s="150"/>
      <c r="H227" s="150"/>
      <c r="K227" s="150"/>
      <c r="L227" s="150"/>
      <c r="M227" s="150"/>
      <c r="N227" s="150"/>
    </row>
    <row r="228" spans="2:14" ht="15" hidden="1">
      <c r="B228" s="195"/>
      <c r="C228" s="202"/>
      <c r="D228" s="202"/>
      <c r="E228" s="202"/>
      <c r="F228" s="196"/>
      <c r="G228" s="150"/>
      <c r="H228" s="150"/>
      <c r="K228" s="150"/>
      <c r="L228" s="150"/>
      <c r="M228" s="150"/>
      <c r="N228" s="150"/>
    </row>
    <row r="229" spans="2:14" ht="15" hidden="1">
      <c r="B229" s="195"/>
      <c r="C229" s="241" t="s">
        <v>152</v>
      </c>
      <c r="D229" s="241"/>
      <c r="E229" s="241"/>
      <c r="F229" s="240">
        <f>F225+F227</f>
        <v>1500</v>
      </c>
      <c r="G229" s="224"/>
      <c r="H229" s="150"/>
      <c r="K229" s="150"/>
      <c r="L229" s="150"/>
      <c r="M229" s="150"/>
      <c r="N229" s="150"/>
    </row>
    <row r="230" spans="2:14" ht="15" hidden="1">
      <c r="B230" s="232">
        <v>42710</v>
      </c>
      <c r="C230" s="262" t="s">
        <v>153</v>
      </c>
      <c r="D230" s="262"/>
      <c r="E230" s="262"/>
      <c r="F230" s="173">
        <f>-1500</f>
        <v>-1500</v>
      </c>
      <c r="G230" s="224"/>
      <c r="H230" s="150"/>
      <c r="K230" s="150"/>
      <c r="L230" s="150"/>
      <c r="M230" s="150"/>
      <c r="N230" s="150"/>
    </row>
    <row r="231" spans="2:14" ht="15.75" hidden="1" thickBot="1">
      <c r="B231" s="445">
        <f>B188</f>
        <v>42735</v>
      </c>
      <c r="C231" s="446" t="str">
        <f>C188</f>
        <v>Saldo</v>
      </c>
      <c r="D231" s="446"/>
      <c r="E231" s="446"/>
      <c r="F231" s="239">
        <f>'project 2016'!F133</f>
        <v>0</v>
      </c>
      <c r="G231" s="563"/>
      <c r="H231" s="150"/>
      <c r="K231" s="150"/>
      <c r="L231" s="150"/>
      <c r="M231" s="150"/>
      <c r="N231" s="150"/>
    </row>
    <row r="232" spans="2:14" ht="15" hidden="1">
      <c r="B232" s="505">
        <v>42796</v>
      </c>
      <c r="C232" s="506" t="s">
        <v>375</v>
      </c>
      <c r="D232" s="506"/>
      <c r="E232" s="506"/>
      <c r="F232" s="507">
        <v>1500</v>
      </c>
      <c r="G232" s="176"/>
      <c r="H232" s="150"/>
      <c r="K232" s="150"/>
      <c r="L232" s="150"/>
      <c r="M232" s="150"/>
      <c r="N232" s="150"/>
    </row>
    <row r="233" spans="2:14" ht="15.75" thickBot="1">
      <c r="B233" s="445">
        <v>43100</v>
      </c>
      <c r="C233" s="446" t="s">
        <v>2</v>
      </c>
      <c r="D233" s="446"/>
      <c r="E233" s="446"/>
      <c r="F233" s="239">
        <v>1500</v>
      </c>
      <c r="G233" s="563"/>
      <c r="H233" s="235"/>
      <c r="K233" s="150"/>
      <c r="L233" s="150"/>
      <c r="M233" s="150"/>
      <c r="N233" s="150"/>
    </row>
    <row r="234" spans="2:14" ht="15">
      <c r="B234" s="427"/>
      <c r="C234" s="471" t="s">
        <v>362</v>
      </c>
      <c r="D234" s="471"/>
      <c r="E234" s="471"/>
      <c r="F234" s="193"/>
      <c r="G234" s="563"/>
      <c r="H234" s="150"/>
      <c r="K234" s="150"/>
      <c r="L234" s="150"/>
      <c r="M234" s="150"/>
      <c r="N234" s="150"/>
    </row>
    <row r="235" spans="2:14" ht="15">
      <c r="B235" s="427">
        <v>43171</v>
      </c>
      <c r="C235" s="471" t="s">
        <v>372</v>
      </c>
      <c r="D235" s="471"/>
      <c r="E235" s="471"/>
      <c r="F235" s="193">
        <v>-1500</v>
      </c>
      <c r="G235" s="563"/>
      <c r="H235" s="224" t="s">
        <v>458</v>
      </c>
      <c r="K235" s="150"/>
      <c r="L235" s="150"/>
      <c r="M235" s="150"/>
      <c r="N235" s="150"/>
    </row>
    <row r="236" spans="2:14" ht="15">
      <c r="B236" s="427">
        <v>43171</v>
      </c>
      <c r="C236" s="471" t="s">
        <v>373</v>
      </c>
      <c r="D236" s="471"/>
      <c r="E236" s="471"/>
      <c r="F236" s="193">
        <v>-1500</v>
      </c>
      <c r="G236" s="563"/>
      <c r="H236" s="224" t="s">
        <v>459</v>
      </c>
      <c r="K236" s="150"/>
      <c r="L236" s="150"/>
      <c r="M236" s="150"/>
      <c r="N236" s="150"/>
    </row>
    <row r="237" spans="2:14" ht="15">
      <c r="B237" s="427"/>
      <c r="C237" s="471" t="s">
        <v>364</v>
      </c>
      <c r="D237" s="471"/>
      <c r="E237" s="471"/>
      <c r="F237" s="193">
        <f>SUM(F234:F236)</f>
        <v>-3000</v>
      </c>
      <c r="G237" s="563"/>
      <c r="H237" s="150"/>
      <c r="K237" s="150"/>
      <c r="L237" s="150"/>
      <c r="M237" s="150"/>
      <c r="N237" s="150"/>
    </row>
    <row r="238" spans="2:14" ht="15">
      <c r="B238" s="427"/>
      <c r="C238" s="471" t="s">
        <v>363</v>
      </c>
      <c r="D238" s="471"/>
      <c r="E238" s="471"/>
      <c r="F238" s="193"/>
      <c r="G238" s="563"/>
      <c r="H238" s="150"/>
      <c r="K238" s="150"/>
      <c r="L238" s="150"/>
      <c r="M238" s="150"/>
      <c r="N238" s="150"/>
    </row>
    <row r="239" spans="2:14" ht="15">
      <c r="B239" s="427">
        <v>43154</v>
      </c>
      <c r="C239" s="471" t="s">
        <v>369</v>
      </c>
      <c r="D239" s="471"/>
      <c r="E239" s="471"/>
      <c r="F239" s="193">
        <v>3000</v>
      </c>
      <c r="G239" s="563"/>
      <c r="H239" s="224" t="s">
        <v>376</v>
      </c>
      <c r="K239" s="150"/>
      <c r="L239" s="150"/>
      <c r="M239" s="150"/>
      <c r="N239" s="150"/>
    </row>
    <row r="240" spans="2:14" ht="8.25" customHeight="1">
      <c r="B240" s="427"/>
      <c r="C240" s="471"/>
      <c r="D240" s="471"/>
      <c r="E240" s="471"/>
      <c r="F240" s="193"/>
      <c r="G240" s="563"/>
      <c r="H240" s="150"/>
      <c r="K240" s="150"/>
      <c r="L240" s="150"/>
      <c r="M240" s="150"/>
      <c r="N240" s="150"/>
    </row>
    <row r="241" spans="2:14" ht="15">
      <c r="B241" s="427"/>
      <c r="C241" s="471" t="s">
        <v>365</v>
      </c>
      <c r="D241" s="471"/>
      <c r="E241" s="471"/>
      <c r="F241" s="193">
        <f>SUM(F238:F240)</f>
        <v>3000</v>
      </c>
      <c r="G241" s="563"/>
      <c r="H241" s="150"/>
      <c r="K241" s="150"/>
      <c r="L241" s="150"/>
      <c r="M241" s="150"/>
      <c r="N241" s="150"/>
    </row>
    <row r="242" spans="2:14" ht="15">
      <c r="B242" s="570">
        <f>B2</f>
        <v>43465</v>
      </c>
      <c r="C242" s="571" t="s">
        <v>2</v>
      </c>
      <c r="D242" s="571"/>
      <c r="E242" s="571"/>
      <c r="F242" s="118">
        <f>F233+F237+F241</f>
        <v>1500</v>
      </c>
      <c r="G242" s="563"/>
      <c r="H242" s="150"/>
      <c r="K242" s="150"/>
      <c r="L242" s="150"/>
      <c r="M242" s="150"/>
      <c r="N242" s="150"/>
    </row>
    <row r="243" spans="2:14" ht="15.75" thickBot="1">
      <c r="B243" s="182"/>
      <c r="C243" s="164"/>
      <c r="D243" s="183"/>
      <c r="E243" s="183"/>
      <c r="F243" s="184"/>
      <c r="G243" s="150"/>
      <c r="H243" s="150"/>
      <c r="K243" s="150"/>
      <c r="L243" s="150"/>
      <c r="M243" s="150"/>
      <c r="N243" s="150"/>
    </row>
    <row r="244" spans="2:14" ht="13.5" thickBot="1">
      <c r="B244" s="24"/>
      <c r="C244" s="24"/>
      <c r="D244" s="24"/>
      <c r="E244" s="24"/>
      <c r="F244" s="24"/>
      <c r="G244" s="150"/>
      <c r="H244" s="150"/>
      <c r="K244" s="150"/>
      <c r="L244" s="150"/>
      <c r="M244" s="150"/>
      <c r="N244" s="150"/>
    </row>
    <row r="245" spans="1:14" ht="15">
      <c r="A245" s="108"/>
      <c r="B245" s="255" t="s">
        <v>93</v>
      </c>
      <c r="C245" s="203"/>
      <c r="D245" s="203"/>
      <c r="E245" s="443" t="s">
        <v>117</v>
      </c>
      <c r="F245" s="444"/>
      <c r="G245" s="150"/>
      <c r="H245" s="150"/>
      <c r="K245" s="150"/>
      <c r="L245" s="150"/>
      <c r="M245" s="150"/>
      <c r="N245" s="150"/>
    </row>
    <row r="246" spans="2:14" ht="4.5" customHeight="1">
      <c r="B246" s="438"/>
      <c r="C246" s="131" t="s">
        <v>60</v>
      </c>
      <c r="D246" s="131"/>
      <c r="E246" s="131"/>
      <c r="F246" s="173">
        <v>0</v>
      </c>
      <c r="G246" s="150"/>
      <c r="H246" s="150"/>
      <c r="K246" s="150"/>
      <c r="L246" s="150"/>
      <c r="M246" s="150"/>
      <c r="N246" s="150"/>
    </row>
    <row r="247" spans="2:14" ht="15" hidden="1">
      <c r="B247" s="434" t="s">
        <v>81</v>
      </c>
      <c r="C247" s="424"/>
      <c r="D247" s="176"/>
      <c r="E247" s="176"/>
      <c r="F247" s="198"/>
      <c r="G247" s="150"/>
      <c r="H247" s="150"/>
      <c r="K247" s="150"/>
      <c r="L247" s="150"/>
      <c r="M247" s="150"/>
      <c r="N247" s="150"/>
    </row>
    <row r="248" spans="2:14" ht="15" hidden="1">
      <c r="B248" s="156">
        <v>42426</v>
      </c>
      <c r="C248" s="202" t="s">
        <v>94</v>
      </c>
      <c r="D248" s="202"/>
      <c r="E248" s="202"/>
      <c r="F248" s="196">
        <v>200</v>
      </c>
      <c r="G248" s="150"/>
      <c r="H248" s="150"/>
      <c r="K248" s="150"/>
      <c r="L248" s="150"/>
      <c r="M248" s="150"/>
      <c r="N248" s="150"/>
    </row>
    <row r="249" spans="2:14" ht="15" hidden="1">
      <c r="B249" s="195"/>
      <c r="C249" s="202" t="s">
        <v>220</v>
      </c>
      <c r="D249" s="202"/>
      <c r="E249" s="202"/>
      <c r="F249" s="196">
        <f>'fin overz 31 dec 2016'!I24</f>
        <v>-151.34</v>
      </c>
      <c r="G249" s="150"/>
      <c r="H249" s="150"/>
      <c r="K249" s="150"/>
      <c r="L249" s="150"/>
      <c r="M249" s="150"/>
      <c r="N249" s="150"/>
    </row>
    <row r="250" spans="2:14" ht="15" hidden="1">
      <c r="B250" s="119">
        <f>B231</f>
        <v>42735</v>
      </c>
      <c r="C250" s="262" t="str">
        <f>C231</f>
        <v>Saldo</v>
      </c>
      <c r="D250" s="262"/>
      <c r="E250" s="262"/>
      <c r="F250" s="173">
        <f>'project 2016'!F141</f>
        <v>48.66</v>
      </c>
      <c r="G250" s="562"/>
      <c r="K250" s="150"/>
      <c r="L250" s="150"/>
      <c r="M250" s="150"/>
      <c r="N250" s="150"/>
    </row>
    <row r="251" spans="2:14" ht="15" hidden="1">
      <c r="B251" s="406"/>
      <c r="C251" s="241" t="s">
        <v>263</v>
      </c>
      <c r="D251" s="241"/>
      <c r="E251" s="241"/>
      <c r="F251" s="240">
        <v>0</v>
      </c>
      <c r="G251" s="224"/>
      <c r="K251" s="150"/>
      <c r="L251" s="150"/>
      <c r="M251" s="150"/>
      <c r="N251" s="150"/>
    </row>
    <row r="252" spans="2:14" ht="15" hidden="1">
      <c r="B252" s="406"/>
      <c r="C252" s="241" t="s">
        <v>262</v>
      </c>
      <c r="D252" s="241"/>
      <c r="E252" s="241"/>
      <c r="F252" s="240">
        <v>0</v>
      </c>
      <c r="G252" s="224"/>
      <c r="K252" s="150"/>
      <c r="L252" s="150"/>
      <c r="M252" s="150"/>
      <c r="N252" s="150"/>
    </row>
    <row r="253" spans="2:14" ht="16.5" customHeight="1" hidden="1">
      <c r="B253" s="406"/>
      <c r="C253" s="241"/>
      <c r="D253" s="241"/>
      <c r="E253" s="241"/>
      <c r="F253" s="240"/>
      <c r="G253" s="224"/>
      <c r="K253" s="150"/>
      <c r="L253" s="150"/>
      <c r="M253" s="150"/>
      <c r="N253" s="150"/>
    </row>
    <row r="254" spans="2:14" ht="15">
      <c r="B254" s="119">
        <v>43100</v>
      </c>
      <c r="C254" s="262" t="s">
        <v>2</v>
      </c>
      <c r="D254" s="262"/>
      <c r="E254" s="262"/>
      <c r="F254" s="173">
        <f>F250+F251+F253</f>
        <v>48.66</v>
      </c>
      <c r="G254" s="563"/>
      <c r="H254" s="132">
        <f>F250</f>
        <v>48.66</v>
      </c>
      <c r="K254" s="150"/>
      <c r="L254" s="150"/>
      <c r="M254" s="150"/>
      <c r="N254" s="150"/>
    </row>
    <row r="255" spans="2:14" ht="15">
      <c r="B255" s="427"/>
      <c r="C255" s="471" t="s">
        <v>362</v>
      </c>
      <c r="D255" s="471"/>
      <c r="E255" s="471"/>
      <c r="F255" s="193"/>
      <c r="G255" s="563"/>
      <c r="K255" s="150"/>
      <c r="L255" s="150"/>
      <c r="M255" s="150"/>
      <c r="N255" s="150"/>
    </row>
    <row r="256" spans="2:14" ht="15">
      <c r="B256" s="427"/>
      <c r="C256" s="471" t="s">
        <v>364</v>
      </c>
      <c r="D256" s="471"/>
      <c r="E256" s="471"/>
      <c r="F256" s="193">
        <f>SUM(F255:F255)</f>
        <v>0</v>
      </c>
      <c r="G256" s="563"/>
      <c r="K256" s="150"/>
      <c r="L256" s="150"/>
      <c r="M256" s="150"/>
      <c r="N256" s="150"/>
    </row>
    <row r="257" spans="2:14" ht="15">
      <c r="B257" s="427"/>
      <c r="C257" s="471" t="s">
        <v>363</v>
      </c>
      <c r="D257" s="471"/>
      <c r="E257" s="471"/>
      <c r="F257" s="193"/>
      <c r="G257" s="563"/>
      <c r="K257" s="150"/>
      <c r="L257" s="150"/>
      <c r="M257" s="150"/>
      <c r="N257" s="150"/>
    </row>
    <row r="258" spans="2:14" ht="15.75" thickBot="1">
      <c r="B258" s="427"/>
      <c r="C258" s="471" t="s">
        <v>365</v>
      </c>
      <c r="D258" s="471"/>
      <c r="E258" s="471"/>
      <c r="F258" s="193">
        <f>SUM(F257:F257)</f>
        <v>0</v>
      </c>
      <c r="G258" s="563"/>
      <c r="K258" s="150"/>
      <c r="L258" s="150"/>
      <c r="M258" s="150"/>
      <c r="N258" s="150"/>
    </row>
    <row r="259" spans="2:14" ht="15.75" thickBot="1">
      <c r="B259" s="574">
        <f>B2</f>
        <v>43465</v>
      </c>
      <c r="C259" s="575" t="s">
        <v>2</v>
      </c>
      <c r="D259" s="575"/>
      <c r="E259" s="575"/>
      <c r="F259" s="576">
        <f>F254+F256+F258</f>
        <v>48.66</v>
      </c>
      <c r="G259" s="150"/>
      <c r="K259" s="150"/>
      <c r="L259" s="150"/>
      <c r="M259" s="150"/>
      <c r="N259" s="150"/>
    </row>
    <row r="260" spans="1:14" ht="15.75" thickBot="1">
      <c r="A260" s="121"/>
      <c r="B260" s="422"/>
      <c r="C260" s="422"/>
      <c r="D260" s="422"/>
      <c r="E260" s="422"/>
      <c r="F260" s="423"/>
      <c r="G260" s="150"/>
      <c r="H260" s="121"/>
      <c r="I260" s="121"/>
      <c r="J260" s="121"/>
      <c r="K260" s="150"/>
      <c r="L260" s="150"/>
      <c r="M260" s="150"/>
      <c r="N260" s="150"/>
    </row>
    <row r="261" spans="1:14" ht="15">
      <c r="A261" s="108"/>
      <c r="B261" s="577"/>
      <c r="C261" s="177"/>
      <c r="D261" s="178"/>
      <c r="E261" s="178" t="s">
        <v>366</v>
      </c>
      <c r="F261" s="179"/>
      <c r="G261" s="150"/>
      <c r="K261" s="150"/>
      <c r="L261" s="150"/>
      <c r="M261" s="150"/>
      <c r="N261" s="150"/>
    </row>
    <row r="262" spans="2:14" ht="15">
      <c r="B262" s="438"/>
      <c r="C262" s="131" t="s">
        <v>60</v>
      </c>
      <c r="D262" s="131"/>
      <c r="E262" s="131"/>
      <c r="F262" s="173">
        <v>0</v>
      </c>
      <c r="G262" s="150"/>
      <c r="H262" s="150"/>
      <c r="K262" s="150"/>
      <c r="L262" s="150"/>
      <c r="M262" s="150"/>
      <c r="N262" s="150"/>
    </row>
    <row r="263" spans="2:14" ht="4.5" customHeight="1">
      <c r="B263" s="434" t="s">
        <v>81</v>
      </c>
      <c r="C263" s="424"/>
      <c r="D263" s="176"/>
      <c r="E263" s="176"/>
      <c r="F263" s="198"/>
      <c r="G263" s="150"/>
      <c r="H263" s="150"/>
      <c r="K263" s="150"/>
      <c r="L263" s="150"/>
      <c r="M263" s="150"/>
      <c r="N263" s="150"/>
    </row>
    <row r="264" spans="2:14" ht="15" hidden="1">
      <c r="B264" s="156">
        <v>42493</v>
      </c>
      <c r="C264" s="202" t="s">
        <v>92</v>
      </c>
      <c r="D264" s="202"/>
      <c r="E264" s="202"/>
      <c r="F264" s="196">
        <v>300</v>
      </c>
      <c r="G264" s="150"/>
      <c r="H264" s="150"/>
      <c r="K264" s="150"/>
      <c r="L264" s="150"/>
      <c r="M264" s="150"/>
      <c r="N264" s="150"/>
    </row>
    <row r="265" spans="2:14" ht="15" hidden="1">
      <c r="B265" s="195"/>
      <c r="C265" s="202"/>
      <c r="D265" s="202"/>
      <c r="E265" s="202"/>
      <c r="F265" s="196"/>
      <c r="G265" s="150"/>
      <c r="H265" s="150"/>
      <c r="K265" s="150"/>
      <c r="L265" s="150"/>
      <c r="M265" s="150"/>
      <c r="N265" s="150"/>
    </row>
    <row r="266" spans="2:14" ht="15" hidden="1">
      <c r="B266" s="195"/>
      <c r="C266" s="241" t="s">
        <v>150</v>
      </c>
      <c r="D266" s="241"/>
      <c r="E266" s="241"/>
      <c r="F266" s="240">
        <f>F262+F264</f>
        <v>300</v>
      </c>
      <c r="G266" s="224"/>
      <c r="H266" s="150"/>
      <c r="K266" s="150"/>
      <c r="L266" s="150"/>
      <c r="M266" s="150"/>
      <c r="N266" s="150"/>
    </row>
    <row r="267" spans="2:14" ht="15" hidden="1">
      <c r="B267" s="232">
        <v>42710</v>
      </c>
      <c r="C267" s="262" t="s">
        <v>154</v>
      </c>
      <c r="D267" s="262"/>
      <c r="E267" s="262"/>
      <c r="F267" s="173">
        <v>-300.01</v>
      </c>
      <c r="G267" s="224"/>
      <c r="H267" s="150"/>
      <c r="K267" s="150"/>
      <c r="L267" s="150"/>
      <c r="M267" s="150"/>
      <c r="N267" s="150"/>
    </row>
    <row r="268" spans="2:14" ht="15" hidden="1">
      <c r="B268" s="406">
        <v>42734</v>
      </c>
      <c r="C268" s="241" t="str">
        <f>C250</f>
        <v>Saldo</v>
      </c>
      <c r="D268" s="241"/>
      <c r="E268" s="241"/>
      <c r="F268" s="240">
        <f>F266+F267</f>
        <v>-0.009999999999990905</v>
      </c>
      <c r="G268" s="150"/>
      <c r="H268" s="401"/>
      <c r="I268" s="235"/>
      <c r="J268" s="235"/>
      <c r="K268" s="235"/>
      <c r="L268" s="235"/>
      <c r="M268" s="235"/>
      <c r="N268" s="150"/>
    </row>
    <row r="269" spans="2:14" ht="15" hidden="1">
      <c r="B269" s="450"/>
      <c r="C269" s="201" t="s">
        <v>240</v>
      </c>
      <c r="D269" s="201"/>
      <c r="E269" s="201"/>
      <c r="F269" s="196">
        <f>-F268</f>
        <v>0.009999999999990905</v>
      </c>
      <c r="G269" s="122"/>
      <c r="H269" s="401" t="s">
        <v>332</v>
      </c>
      <c r="I269" s="235"/>
      <c r="J269" s="235"/>
      <c r="K269" s="235"/>
      <c r="L269" s="235"/>
      <c r="M269" s="235"/>
      <c r="N269" s="150"/>
    </row>
    <row r="270" spans="2:14" ht="15" hidden="1">
      <c r="B270" s="406">
        <v>43100</v>
      </c>
      <c r="C270" s="241" t="s">
        <v>239</v>
      </c>
      <c r="D270" s="241"/>
      <c r="E270" s="241"/>
      <c r="F270" s="240">
        <f>F268+F269</f>
        <v>0</v>
      </c>
      <c r="G270" s="150"/>
      <c r="H270" s="401"/>
      <c r="I270" s="235"/>
      <c r="J270" s="235"/>
      <c r="K270" s="235"/>
      <c r="L270" s="235"/>
      <c r="M270" s="235"/>
      <c r="N270" s="150"/>
    </row>
    <row r="271" spans="2:14" ht="15.75" thickBot="1">
      <c r="B271" s="163"/>
      <c r="C271" s="664" t="s">
        <v>423</v>
      </c>
      <c r="D271" s="664"/>
      <c r="E271" s="664"/>
      <c r="F271" s="199"/>
      <c r="G271" s="150"/>
      <c r="H271" s="401"/>
      <c r="I271" s="235"/>
      <c r="J271" s="235"/>
      <c r="K271" s="224"/>
      <c r="L271" s="235"/>
      <c r="M271" s="235"/>
      <c r="N271" s="150"/>
    </row>
    <row r="272" spans="2:14" ht="13.5" thickBot="1">
      <c r="B272" s="24"/>
      <c r="C272" s="24"/>
      <c r="D272" s="24"/>
      <c r="E272" s="24"/>
      <c r="F272" s="24"/>
      <c r="G272" s="150"/>
      <c r="H272" s="401"/>
      <c r="I272" s="235"/>
      <c r="J272" s="235"/>
      <c r="K272" s="235"/>
      <c r="L272" s="235"/>
      <c r="M272" s="235"/>
      <c r="N272" s="150"/>
    </row>
    <row r="273" spans="2:14" ht="15">
      <c r="B273" s="255" t="s">
        <v>122</v>
      </c>
      <c r="C273" s="203"/>
      <c r="D273" s="203"/>
      <c r="E273" s="447" t="s">
        <v>119</v>
      </c>
      <c r="F273" s="444"/>
      <c r="G273" s="150"/>
      <c r="H273" s="401"/>
      <c r="I273" s="235"/>
      <c r="J273" s="235"/>
      <c r="K273" s="230"/>
      <c r="L273" s="230"/>
      <c r="M273" s="230"/>
      <c r="N273" s="230"/>
    </row>
    <row r="274" spans="2:14" ht="3.75" customHeight="1">
      <c r="B274" s="438"/>
      <c r="C274" s="131" t="s">
        <v>60</v>
      </c>
      <c r="D274" s="131"/>
      <c r="E274" s="131"/>
      <c r="F274" s="173">
        <v>0</v>
      </c>
      <c r="G274" s="150"/>
      <c r="H274" s="401"/>
      <c r="I274" s="235"/>
      <c r="J274" s="235"/>
      <c r="K274" s="230"/>
      <c r="L274" s="230"/>
      <c r="M274" s="230"/>
      <c r="N274" s="230"/>
    </row>
    <row r="275" spans="2:14" ht="15" hidden="1">
      <c r="B275" s="434" t="s">
        <v>81</v>
      </c>
      <c r="C275" s="424"/>
      <c r="D275" s="176"/>
      <c r="E275" s="176"/>
      <c r="F275" s="198"/>
      <c r="G275" s="150"/>
      <c r="H275" s="150"/>
      <c r="I275" s="150"/>
      <c r="J275" s="150"/>
      <c r="K275" s="230"/>
      <c r="L275" s="230"/>
      <c r="M275" s="230"/>
      <c r="N275" s="230"/>
    </row>
    <row r="276" spans="2:14" ht="15" hidden="1">
      <c r="B276" s="195"/>
      <c r="C276" s="202" t="s">
        <v>209</v>
      </c>
      <c r="D276" s="202"/>
      <c r="E276" s="425"/>
      <c r="F276" s="196">
        <v>10000</v>
      </c>
      <c r="G276" s="150"/>
      <c r="H276" s="150"/>
      <c r="I276" s="150"/>
      <c r="J276" s="150"/>
      <c r="K276" s="230"/>
      <c r="L276" s="230"/>
      <c r="M276" s="230"/>
      <c r="N276" s="230"/>
    </row>
    <row r="277" spans="2:14" ht="3.75" customHeight="1">
      <c r="B277" s="195"/>
      <c r="C277" s="202"/>
      <c r="D277" s="202"/>
      <c r="E277" s="223"/>
      <c r="F277" s="196"/>
      <c r="G277" s="150"/>
      <c r="H277" s="150"/>
      <c r="I277" s="150"/>
      <c r="J277" s="150"/>
      <c r="K277" s="230"/>
      <c r="L277" s="230"/>
      <c r="M277" s="230"/>
      <c r="N277" s="230"/>
    </row>
    <row r="278" spans="2:14" ht="15" hidden="1">
      <c r="B278" s="195"/>
      <c r="C278" s="202" t="s">
        <v>101</v>
      </c>
      <c r="D278" s="202"/>
      <c r="E278" s="223"/>
      <c r="F278" s="196">
        <v>0</v>
      </c>
      <c r="G278" s="150"/>
      <c r="H278" s="150"/>
      <c r="I278" s="150"/>
      <c r="J278" s="150"/>
      <c r="K278" s="230"/>
      <c r="L278" s="230"/>
      <c r="M278" s="230"/>
      <c r="N278" s="230"/>
    </row>
    <row r="279" spans="2:14" ht="15" hidden="1">
      <c r="B279" s="406">
        <f>B268</f>
        <v>42734</v>
      </c>
      <c r="C279" s="241" t="str">
        <f>C268</f>
        <v>Saldo</v>
      </c>
      <c r="D279" s="241"/>
      <c r="E279" s="241"/>
      <c r="F279" s="240">
        <f>'project 2016'!F162</f>
        <v>10000</v>
      </c>
      <c r="G279" s="224"/>
      <c r="H279" s="150"/>
      <c r="I279" s="150"/>
      <c r="J279" s="150"/>
      <c r="K279" s="230"/>
      <c r="L279" s="230"/>
      <c r="M279" s="230"/>
      <c r="N279" s="230"/>
    </row>
    <row r="280" spans="2:14" ht="15" hidden="1">
      <c r="B280" s="450" t="s">
        <v>175</v>
      </c>
      <c r="C280" s="201"/>
      <c r="D280" s="201"/>
      <c r="E280" s="201"/>
      <c r="F280" s="196"/>
      <c r="G280" s="224"/>
      <c r="H280" s="150"/>
      <c r="I280" s="150"/>
      <c r="J280" s="150"/>
      <c r="K280" s="230"/>
      <c r="L280" s="230"/>
      <c r="M280" s="230"/>
      <c r="N280" s="230"/>
    </row>
    <row r="281" spans="2:14" ht="15" hidden="1">
      <c r="B281" s="450">
        <v>42784</v>
      </c>
      <c r="C281" s="201" t="s">
        <v>229</v>
      </c>
      <c r="D281" s="201"/>
      <c r="E281" s="201"/>
      <c r="F281" s="196">
        <v>250</v>
      </c>
      <c r="G281" s="123"/>
      <c r="H281" s="150" t="s">
        <v>330</v>
      </c>
      <c r="I281" s="150"/>
      <c r="J281" s="150"/>
      <c r="K281" s="230"/>
      <c r="L281" s="230"/>
      <c r="M281" s="230"/>
      <c r="N281" s="230"/>
    </row>
    <row r="282" spans="2:14" ht="15" hidden="1">
      <c r="B282" s="450">
        <v>42769</v>
      </c>
      <c r="C282" s="201" t="s">
        <v>249</v>
      </c>
      <c r="D282" s="201"/>
      <c r="E282" s="201"/>
      <c r="F282" s="196">
        <v>62.5</v>
      </c>
      <c r="G282" s="123"/>
      <c r="H282" s="150" t="s">
        <v>330</v>
      </c>
      <c r="I282" s="150"/>
      <c r="J282" s="150"/>
      <c r="K282" s="230"/>
      <c r="L282" s="230"/>
      <c r="M282" s="230"/>
      <c r="N282" s="230"/>
    </row>
    <row r="283" spans="2:14" ht="15" hidden="1">
      <c r="B283" s="450">
        <v>42787</v>
      </c>
      <c r="C283" s="201" t="s">
        <v>233</v>
      </c>
      <c r="D283" s="201"/>
      <c r="E283" s="201"/>
      <c r="F283" s="196">
        <f>-F133</f>
        <v>1884</v>
      </c>
      <c r="G283" s="123"/>
      <c r="H283" s="150" t="s">
        <v>334</v>
      </c>
      <c r="I283" s="150"/>
      <c r="J283" s="150"/>
      <c r="K283" s="230"/>
      <c r="L283" s="230"/>
      <c r="M283" s="230"/>
      <c r="N283" s="230"/>
    </row>
    <row r="284" spans="2:14" ht="15" hidden="1">
      <c r="B284" s="450">
        <v>42787</v>
      </c>
      <c r="C284" s="201" t="s">
        <v>281</v>
      </c>
      <c r="D284" s="241"/>
      <c r="E284" s="201"/>
      <c r="F284" s="196">
        <v>500</v>
      </c>
      <c r="G284" s="123"/>
      <c r="H284" s="150" t="s">
        <v>330</v>
      </c>
      <c r="I284" s="150"/>
      <c r="J284" s="150"/>
      <c r="K284" s="230"/>
      <c r="L284" s="230"/>
      <c r="M284" s="230"/>
      <c r="N284" s="230"/>
    </row>
    <row r="285" spans="2:14" ht="15" hidden="1">
      <c r="B285" s="450">
        <v>42796</v>
      </c>
      <c r="C285" s="201" t="s">
        <v>248</v>
      </c>
      <c r="D285" s="201"/>
      <c r="E285" s="201"/>
      <c r="F285" s="196">
        <v>500</v>
      </c>
      <c r="G285" s="123"/>
      <c r="H285" s="150" t="s">
        <v>330</v>
      </c>
      <c r="I285" s="150"/>
      <c r="J285" s="150"/>
      <c r="K285" s="230"/>
      <c r="L285" s="230"/>
      <c r="M285" s="230"/>
      <c r="N285" s="230"/>
    </row>
    <row r="286" spans="2:14" ht="15" hidden="1">
      <c r="B286" s="450">
        <v>42922</v>
      </c>
      <c r="C286" s="201" t="s">
        <v>259</v>
      </c>
      <c r="D286" s="201"/>
      <c r="E286" s="201"/>
      <c r="F286" s="196">
        <v>600</v>
      </c>
      <c r="G286" s="123"/>
      <c r="H286" s="150" t="s">
        <v>330</v>
      </c>
      <c r="I286" s="150"/>
      <c r="J286" s="150"/>
      <c r="K286" s="230"/>
      <c r="L286" s="230"/>
      <c r="M286" s="230"/>
      <c r="N286" s="230"/>
    </row>
    <row r="287" spans="2:14" ht="15" hidden="1">
      <c r="B287" s="450">
        <v>42934</v>
      </c>
      <c r="C287" s="201" t="s">
        <v>260</v>
      </c>
      <c r="D287" s="201"/>
      <c r="E287" s="201"/>
      <c r="F287" s="196">
        <v>450</v>
      </c>
      <c r="G287" s="123"/>
      <c r="H287" s="220" t="s">
        <v>330</v>
      </c>
      <c r="I287" s="224" t="s">
        <v>346</v>
      </c>
      <c r="J287" s="150"/>
      <c r="K287" s="230"/>
      <c r="L287" s="230"/>
      <c r="M287" s="230"/>
      <c r="N287" s="230"/>
    </row>
    <row r="288" spans="2:14" ht="15" hidden="1">
      <c r="B288" s="450">
        <v>42940</v>
      </c>
      <c r="C288" s="201" t="s">
        <v>258</v>
      </c>
      <c r="D288" s="201"/>
      <c r="E288" s="201"/>
      <c r="F288" s="196">
        <v>500</v>
      </c>
      <c r="G288" s="123"/>
      <c r="H288" s="220" t="s">
        <v>330</v>
      </c>
      <c r="I288" s="150"/>
      <c r="J288" s="150"/>
      <c r="K288" s="230"/>
      <c r="L288" s="230"/>
      <c r="M288" s="230"/>
      <c r="N288" s="230"/>
    </row>
    <row r="289" spans="2:14" ht="22.5" hidden="1">
      <c r="B289" s="450">
        <v>42986</v>
      </c>
      <c r="C289" s="201" t="s">
        <v>347</v>
      </c>
      <c r="D289" s="201"/>
      <c r="E289" s="201"/>
      <c r="F289" s="196">
        <v>2.43</v>
      </c>
      <c r="G289" s="123"/>
      <c r="H289" s="220" t="s">
        <v>330</v>
      </c>
      <c r="I289" s="565" t="s">
        <v>343</v>
      </c>
      <c r="J289" s="565" t="s">
        <v>344</v>
      </c>
      <c r="K289" s="230"/>
      <c r="L289" s="230"/>
      <c r="M289" s="230"/>
      <c r="N289" s="230"/>
    </row>
    <row r="290" spans="2:14" ht="22.5" hidden="1">
      <c r="B290" s="450">
        <v>42998</v>
      </c>
      <c r="C290" s="201" t="s">
        <v>347</v>
      </c>
      <c r="D290" s="201"/>
      <c r="E290" s="201"/>
      <c r="F290" s="196">
        <v>58.35</v>
      </c>
      <c r="G290" s="123"/>
      <c r="H290" s="220" t="s">
        <v>330</v>
      </c>
      <c r="I290" s="565" t="s">
        <v>343</v>
      </c>
      <c r="J290" s="565" t="s">
        <v>345</v>
      </c>
      <c r="K290" s="230"/>
      <c r="L290" s="230"/>
      <c r="M290" s="230"/>
      <c r="N290" s="230"/>
    </row>
    <row r="291" spans="2:14" ht="15" hidden="1">
      <c r="B291" s="450">
        <v>43098</v>
      </c>
      <c r="C291" s="201" t="s">
        <v>288</v>
      </c>
      <c r="D291" s="201"/>
      <c r="E291" s="201"/>
      <c r="F291" s="196">
        <v>5175</v>
      </c>
      <c r="G291" s="123"/>
      <c r="H291" s="220" t="s">
        <v>330</v>
      </c>
      <c r="I291" s="150"/>
      <c r="J291" s="150">
        <f>2.43+58.35</f>
        <v>60.78</v>
      </c>
      <c r="K291" s="230"/>
      <c r="L291" s="230"/>
      <c r="M291" s="230"/>
      <c r="N291" s="230"/>
    </row>
    <row r="292" spans="2:14" ht="15" hidden="1">
      <c r="B292" s="406" t="s">
        <v>268</v>
      </c>
      <c r="C292" s="241"/>
      <c r="D292" s="241"/>
      <c r="E292" s="241"/>
      <c r="F292" s="240">
        <f>SUM(F281:F291)</f>
        <v>9982.28</v>
      </c>
      <c r="G292" s="224"/>
      <c r="H292" s="150"/>
      <c r="K292" s="230"/>
      <c r="L292" s="230"/>
      <c r="M292" s="230"/>
      <c r="N292" s="230"/>
    </row>
    <row r="293" spans="2:14" ht="15" hidden="1">
      <c r="B293" s="406" t="s">
        <v>219</v>
      </c>
      <c r="C293" s="241"/>
      <c r="D293" s="241"/>
      <c r="E293" s="241"/>
      <c r="F293" s="240">
        <f>F279+F292</f>
        <v>19982.28</v>
      </c>
      <c r="G293" s="224"/>
      <c r="H293" s="150"/>
      <c r="K293" s="230"/>
      <c r="L293" s="230"/>
      <c r="M293" s="230"/>
      <c r="N293" s="230"/>
    </row>
    <row r="294" spans="2:14" ht="15" hidden="1">
      <c r="B294" s="450" t="s">
        <v>176</v>
      </c>
      <c r="C294" s="201"/>
      <c r="D294" s="201"/>
      <c r="E294" s="201"/>
      <c r="F294" s="196"/>
      <c r="G294" s="224"/>
      <c r="H294" s="150"/>
      <c r="I294" s="150"/>
      <c r="J294" s="150"/>
      <c r="K294" s="230"/>
      <c r="L294" s="230"/>
      <c r="M294" s="230"/>
      <c r="N294" s="230"/>
    </row>
    <row r="295" spans="2:14" ht="12.75" customHeight="1" hidden="1">
      <c r="B295" s="450">
        <v>42839</v>
      </c>
      <c r="C295" s="201" t="s">
        <v>245</v>
      </c>
      <c r="D295" s="201"/>
      <c r="E295" s="201"/>
      <c r="F295" s="196">
        <v>-11.97</v>
      </c>
      <c r="G295" s="123"/>
      <c r="H295" s="261" t="s">
        <v>351</v>
      </c>
      <c r="I295" s="123" t="s">
        <v>356</v>
      </c>
      <c r="J295" s="150" t="s">
        <v>358</v>
      </c>
      <c r="K295" s="230"/>
      <c r="L295" s="230"/>
      <c r="M295" s="230"/>
      <c r="N295" s="230"/>
    </row>
    <row r="296" spans="2:14" ht="15" hidden="1">
      <c r="B296" s="450">
        <v>42839</v>
      </c>
      <c r="C296" s="201" t="s">
        <v>246</v>
      </c>
      <c r="D296" s="201"/>
      <c r="E296" s="201"/>
      <c r="F296" s="196">
        <v>-124.06</v>
      </c>
      <c r="G296" s="123"/>
      <c r="H296" s="261" t="s">
        <v>351</v>
      </c>
      <c r="I296" s="123" t="s">
        <v>359</v>
      </c>
      <c r="J296" s="150" t="s">
        <v>357</v>
      </c>
      <c r="K296" s="230"/>
      <c r="L296" s="230"/>
      <c r="M296" s="230"/>
      <c r="N296" s="230"/>
    </row>
    <row r="297" spans="2:14" ht="15" hidden="1">
      <c r="B297" s="450">
        <v>42840</v>
      </c>
      <c r="C297" s="201" t="s">
        <v>247</v>
      </c>
      <c r="D297" s="201"/>
      <c r="E297" s="201"/>
      <c r="F297" s="196">
        <v>-231.8</v>
      </c>
      <c r="G297" s="123"/>
      <c r="H297" s="261" t="s">
        <v>351</v>
      </c>
      <c r="I297" s="123" t="s">
        <v>357</v>
      </c>
      <c r="J297" s="150" t="s">
        <v>357</v>
      </c>
      <c r="K297" s="230"/>
      <c r="L297" s="230"/>
      <c r="M297" s="230"/>
      <c r="N297" s="230"/>
    </row>
    <row r="298" spans="2:14" ht="15" hidden="1">
      <c r="B298" s="450">
        <v>42874</v>
      </c>
      <c r="C298" s="201" t="s">
        <v>250</v>
      </c>
      <c r="D298" s="201"/>
      <c r="E298" s="201"/>
      <c r="F298" s="196">
        <v>-2650</v>
      </c>
      <c r="G298" s="123"/>
      <c r="H298" s="224" t="s">
        <v>339</v>
      </c>
      <c r="I298" s="150"/>
      <c r="J298" s="150"/>
      <c r="K298" s="230"/>
      <c r="L298" s="230"/>
      <c r="M298" s="230"/>
      <c r="N298" s="230"/>
    </row>
    <row r="299" spans="2:14" ht="15" hidden="1">
      <c r="B299" s="450">
        <v>42874</v>
      </c>
      <c r="C299" s="201" t="s">
        <v>251</v>
      </c>
      <c r="D299" s="201"/>
      <c r="E299" s="201"/>
      <c r="F299" s="196">
        <v>-250</v>
      </c>
      <c r="G299" s="123"/>
      <c r="H299" s="224" t="s">
        <v>340</v>
      </c>
      <c r="I299" s="150"/>
      <c r="J299" s="150"/>
      <c r="K299" s="230"/>
      <c r="L299" s="230"/>
      <c r="M299" s="230"/>
      <c r="N299" s="230"/>
    </row>
    <row r="300" spans="2:14" ht="15" hidden="1">
      <c r="B300" s="450">
        <v>42912</v>
      </c>
      <c r="C300" s="201" t="s">
        <v>255</v>
      </c>
      <c r="D300" s="201"/>
      <c r="E300" s="201"/>
      <c r="F300" s="196">
        <v>-1280.19</v>
      </c>
      <c r="G300" s="123"/>
      <c r="H300" s="224" t="s">
        <v>340</v>
      </c>
      <c r="I300" s="150"/>
      <c r="J300" s="150"/>
      <c r="K300" s="601"/>
      <c r="L300" s="230"/>
      <c r="M300" s="150"/>
      <c r="N300" s="150"/>
    </row>
    <row r="301" spans="2:14" ht="15" hidden="1">
      <c r="B301" s="450">
        <v>42912</v>
      </c>
      <c r="C301" s="201" t="s">
        <v>250</v>
      </c>
      <c r="D301" s="201"/>
      <c r="E301" s="201"/>
      <c r="F301" s="196">
        <v>-5300</v>
      </c>
      <c r="G301" s="123"/>
      <c r="H301" s="224" t="s">
        <v>340</v>
      </c>
      <c r="I301" s="150"/>
      <c r="J301" s="150"/>
      <c r="K301" s="230"/>
      <c r="L301" s="230"/>
      <c r="M301" s="230"/>
      <c r="N301" s="230"/>
    </row>
    <row r="302" spans="2:14" ht="15" hidden="1">
      <c r="B302" s="450">
        <v>42928</v>
      </c>
      <c r="C302" s="201" t="s">
        <v>261</v>
      </c>
      <c r="D302" s="201"/>
      <c r="E302" s="201"/>
      <c r="F302" s="196">
        <v>-2650</v>
      </c>
      <c r="G302" s="123"/>
      <c r="H302" s="261" t="s">
        <v>351</v>
      </c>
      <c r="I302" s="123" t="s">
        <v>355</v>
      </c>
      <c r="J302" s="150"/>
      <c r="K302" s="601"/>
      <c r="L302" s="230"/>
      <c r="M302" s="150"/>
      <c r="N302" s="150"/>
    </row>
    <row r="303" spans="2:14" ht="15" hidden="1">
      <c r="B303" s="450">
        <v>42997</v>
      </c>
      <c r="C303" s="201" t="s">
        <v>270</v>
      </c>
      <c r="D303" s="201"/>
      <c r="E303" s="201"/>
      <c r="F303" s="196">
        <v>-368</v>
      </c>
      <c r="G303" s="123"/>
      <c r="H303" s="220" t="s">
        <v>340</v>
      </c>
      <c r="I303" s="150"/>
      <c r="J303" s="150"/>
      <c r="K303" s="230"/>
      <c r="L303" s="230"/>
      <c r="M303" s="230"/>
      <c r="N303" s="230"/>
    </row>
    <row r="304" spans="2:14" ht="15" hidden="1">
      <c r="B304" s="450">
        <v>42997</v>
      </c>
      <c r="C304" s="201" t="s">
        <v>269</v>
      </c>
      <c r="D304" s="201"/>
      <c r="E304" s="201"/>
      <c r="F304" s="196">
        <v>-187.5</v>
      </c>
      <c r="G304" s="123"/>
      <c r="H304" s="220" t="s">
        <v>340</v>
      </c>
      <c r="I304" s="150"/>
      <c r="J304" s="150"/>
      <c r="K304" s="230"/>
      <c r="L304" s="230"/>
      <c r="M304" s="150"/>
      <c r="N304" s="150"/>
    </row>
    <row r="305" spans="2:14" ht="15" hidden="1">
      <c r="B305" s="450">
        <v>43024</v>
      </c>
      <c r="C305" s="201" t="s">
        <v>271</v>
      </c>
      <c r="D305" s="201"/>
      <c r="E305" s="201"/>
      <c r="F305" s="196">
        <v>-163.35</v>
      </c>
      <c r="G305" s="123"/>
      <c r="H305" s="220" t="s">
        <v>340</v>
      </c>
      <c r="I305" s="150"/>
      <c r="J305" s="150"/>
      <c r="K305" s="601"/>
      <c r="L305" s="230"/>
      <c r="M305" s="150"/>
      <c r="N305" s="150"/>
    </row>
    <row r="306" spans="2:14" ht="15" hidden="1">
      <c r="B306" s="450">
        <v>43024</v>
      </c>
      <c r="C306" s="201" t="s">
        <v>272</v>
      </c>
      <c r="D306" s="201"/>
      <c r="E306" s="201"/>
      <c r="F306" s="196">
        <v>-136</v>
      </c>
      <c r="G306" s="123"/>
      <c r="H306" s="220" t="s">
        <v>340</v>
      </c>
      <c r="I306" s="150"/>
      <c r="J306" s="150"/>
      <c r="K306" s="601"/>
      <c r="L306" s="230"/>
      <c r="M306" s="150"/>
      <c r="N306" s="150"/>
    </row>
    <row r="307" spans="2:14" ht="15" hidden="1">
      <c r="B307" s="450">
        <v>43024</v>
      </c>
      <c r="C307" s="201" t="s">
        <v>273</v>
      </c>
      <c r="D307" s="201"/>
      <c r="E307" s="201"/>
      <c r="F307" s="196">
        <v>-31.57</v>
      </c>
      <c r="G307" s="123"/>
      <c r="H307" s="220" t="s">
        <v>340</v>
      </c>
      <c r="I307" s="150"/>
      <c r="J307" s="150"/>
      <c r="K307" s="601"/>
      <c r="L307" s="230"/>
      <c r="M307" s="150"/>
      <c r="N307" s="150"/>
    </row>
    <row r="308" spans="2:14" ht="15" hidden="1">
      <c r="B308" s="450">
        <v>43024</v>
      </c>
      <c r="C308" s="201" t="s">
        <v>276</v>
      </c>
      <c r="D308" s="201"/>
      <c r="E308" s="201"/>
      <c r="F308" s="196">
        <v>-544.5</v>
      </c>
      <c r="G308" s="123"/>
      <c r="H308" s="220" t="s">
        <v>340</v>
      </c>
      <c r="I308" s="150"/>
      <c r="J308" s="150"/>
      <c r="K308" s="601"/>
      <c r="L308" s="230"/>
      <c r="M308" s="150"/>
      <c r="N308" s="150"/>
    </row>
    <row r="309" spans="2:14" ht="15" hidden="1">
      <c r="B309" s="450">
        <v>43024</v>
      </c>
      <c r="C309" s="201" t="s">
        <v>277</v>
      </c>
      <c r="D309" s="201"/>
      <c r="E309" s="201"/>
      <c r="F309" s="196">
        <v>-70.45</v>
      </c>
      <c r="G309" s="123"/>
      <c r="H309" s="220" t="s">
        <v>340</v>
      </c>
      <c r="I309" s="150"/>
      <c r="J309" s="150"/>
      <c r="K309" s="230"/>
      <c r="L309" s="230"/>
      <c r="M309" s="230"/>
      <c r="N309" s="230"/>
    </row>
    <row r="310" spans="2:14" ht="15" hidden="1">
      <c r="B310" s="450">
        <v>43024</v>
      </c>
      <c r="C310" s="201" t="s">
        <v>278</v>
      </c>
      <c r="D310" s="201"/>
      <c r="E310" s="201"/>
      <c r="F310" s="196">
        <v>-149.74</v>
      </c>
      <c r="G310" s="123"/>
      <c r="H310" s="220" t="s">
        <v>340</v>
      </c>
      <c r="I310" s="150"/>
      <c r="J310" s="150"/>
      <c r="K310" s="230"/>
      <c r="L310" s="230"/>
      <c r="M310" s="230"/>
      <c r="N310" s="230"/>
    </row>
    <row r="311" spans="2:14" ht="15" hidden="1">
      <c r="B311" s="450">
        <v>43024</v>
      </c>
      <c r="C311" s="201" t="s">
        <v>279</v>
      </c>
      <c r="D311" s="201"/>
      <c r="E311" s="201"/>
      <c r="F311" s="196">
        <v>-93.7</v>
      </c>
      <c r="G311" s="123"/>
      <c r="H311" s="220" t="s">
        <v>340</v>
      </c>
      <c r="I311" s="150"/>
      <c r="J311" s="150"/>
      <c r="K311" s="225"/>
      <c r="L311" s="225"/>
      <c r="M311" s="225"/>
      <c r="N311" s="603"/>
    </row>
    <row r="312" spans="2:14" ht="15" hidden="1">
      <c r="B312" s="450">
        <v>43038</v>
      </c>
      <c r="C312" s="201" t="s">
        <v>280</v>
      </c>
      <c r="D312" s="201"/>
      <c r="E312" s="201"/>
      <c r="F312" s="196">
        <v>-91</v>
      </c>
      <c r="G312" s="123"/>
      <c r="H312" s="220" t="s">
        <v>340</v>
      </c>
      <c r="I312" s="150"/>
      <c r="J312" s="150"/>
      <c r="K312" s="227"/>
      <c r="L312" s="227"/>
      <c r="M312" s="227"/>
      <c r="N312" s="227"/>
    </row>
    <row r="313" spans="2:14" ht="15" hidden="1">
      <c r="B313" s="450">
        <v>43058</v>
      </c>
      <c r="C313" s="201" t="s">
        <v>251</v>
      </c>
      <c r="D313" s="201"/>
      <c r="E313" s="201"/>
      <c r="F313" s="196">
        <v>-250</v>
      </c>
      <c r="G313" s="123"/>
      <c r="H313" s="569" t="s">
        <v>351</v>
      </c>
      <c r="I313" s="123" t="s">
        <v>355</v>
      </c>
      <c r="J313" s="150"/>
      <c r="K313" s="473"/>
      <c r="L313" s="473"/>
      <c r="M313" s="150"/>
      <c r="N313" s="150"/>
    </row>
    <row r="314" spans="2:14" ht="15" hidden="1">
      <c r="B314" s="450">
        <v>43064</v>
      </c>
      <c r="C314" s="201" t="s">
        <v>283</v>
      </c>
      <c r="D314" s="201"/>
      <c r="E314" s="201"/>
      <c r="F314" s="196">
        <v>-57.62</v>
      </c>
      <c r="G314" s="123"/>
      <c r="H314" s="189" t="s">
        <v>351</v>
      </c>
      <c r="I314" s="123" t="s">
        <v>355</v>
      </c>
      <c r="J314" s="122"/>
      <c r="K314" s="150"/>
      <c r="L314" s="229"/>
      <c r="M314" s="229"/>
      <c r="N314" s="604"/>
    </row>
    <row r="315" spans="2:14" ht="15" hidden="1">
      <c r="B315" s="450">
        <v>43076</v>
      </c>
      <c r="C315" s="201" t="s">
        <v>284</v>
      </c>
      <c r="D315" s="201"/>
      <c r="E315" s="201"/>
      <c r="F315" s="196">
        <v>-1454.75</v>
      </c>
      <c r="G315" s="123"/>
      <c r="H315" s="189" t="s">
        <v>351</v>
      </c>
      <c r="I315" s="123" t="s">
        <v>355</v>
      </c>
      <c r="J315" s="150"/>
      <c r="K315" s="150"/>
      <c r="L315" s="229"/>
      <c r="M315" s="229"/>
      <c r="N315" s="227"/>
    </row>
    <row r="316" spans="2:14" ht="15" hidden="1">
      <c r="B316" s="450">
        <v>43081</v>
      </c>
      <c r="C316" s="201" t="s">
        <v>286</v>
      </c>
      <c r="D316" s="201"/>
      <c r="E316" s="201"/>
      <c r="F316" s="196">
        <v>-2375</v>
      </c>
      <c r="G316" s="123"/>
      <c r="H316" s="189" t="s">
        <v>351</v>
      </c>
      <c r="I316" s="123" t="s">
        <v>355</v>
      </c>
      <c r="J316" s="150"/>
      <c r="K316" s="150"/>
      <c r="L316" s="229"/>
      <c r="M316" s="229"/>
      <c r="N316" s="227"/>
    </row>
    <row r="317" spans="2:14" ht="15" hidden="1">
      <c r="B317" s="450">
        <v>43082</v>
      </c>
      <c r="C317" s="201" t="s">
        <v>287</v>
      </c>
      <c r="D317" s="201"/>
      <c r="E317" s="201"/>
      <c r="F317" s="196">
        <v>-134.75</v>
      </c>
      <c r="G317" s="123"/>
      <c r="H317" s="189" t="s">
        <v>351</v>
      </c>
      <c r="I317" s="123" t="s">
        <v>355</v>
      </c>
      <c r="J317" s="150"/>
      <c r="K317" s="230"/>
      <c r="L317" s="230"/>
      <c r="M317" s="230"/>
      <c r="N317" s="230"/>
    </row>
    <row r="318" spans="2:14" ht="15" hidden="1">
      <c r="B318" s="450"/>
      <c r="C318" s="201"/>
      <c r="D318" s="201"/>
      <c r="E318" s="201"/>
      <c r="F318" s="196"/>
      <c r="G318" s="224"/>
      <c r="H318" s="150"/>
      <c r="I318" s="150"/>
      <c r="J318" s="150"/>
      <c r="K318" s="230"/>
      <c r="L318" s="230"/>
      <c r="M318" s="230"/>
      <c r="N318" s="230"/>
    </row>
    <row r="319" spans="2:14" ht="15" hidden="1">
      <c r="B319" s="406" t="s">
        <v>307</v>
      </c>
      <c r="C319" s="241"/>
      <c r="D319" s="241"/>
      <c r="E319" s="241"/>
      <c r="F319" s="240">
        <f>SUM(F295:F317)</f>
        <v>-18605.950000000004</v>
      </c>
      <c r="G319" s="224"/>
      <c r="H319" s="150"/>
      <c r="I319" s="150"/>
      <c r="J319" s="122"/>
      <c r="K319" s="230"/>
      <c r="L319" s="230"/>
      <c r="M319" s="230"/>
      <c r="N319" s="230"/>
    </row>
    <row r="320" spans="2:14" ht="15" hidden="1">
      <c r="B320" s="450"/>
      <c r="C320" s="201"/>
      <c r="D320" s="201"/>
      <c r="E320" s="201"/>
      <c r="F320" s="196"/>
      <c r="G320" s="224"/>
      <c r="H320" s="150"/>
      <c r="I320" s="150"/>
      <c r="J320" s="122"/>
      <c r="K320" s="230"/>
      <c r="L320" s="230"/>
      <c r="M320" s="230"/>
      <c r="N320" s="230"/>
    </row>
    <row r="321" spans="2:14" ht="15">
      <c r="B321" s="119">
        <v>43100</v>
      </c>
      <c r="C321" s="262" t="s">
        <v>2</v>
      </c>
      <c r="D321" s="262"/>
      <c r="E321" s="262"/>
      <c r="F321" s="173">
        <v>1376.33</v>
      </c>
      <c r="G321" s="194"/>
      <c r="H321" s="235">
        <f>F293+F319</f>
        <v>1376.3299999999945</v>
      </c>
      <c r="I321" s="150"/>
      <c r="J321" s="150"/>
      <c r="K321" s="150"/>
      <c r="L321" s="230"/>
      <c r="M321" s="230"/>
      <c r="N321" s="230"/>
    </row>
    <row r="322" spans="2:14" ht="15">
      <c r="B322" s="427"/>
      <c r="C322" s="471" t="s">
        <v>362</v>
      </c>
      <c r="D322" s="471"/>
      <c r="E322" s="471"/>
      <c r="F322" s="193"/>
      <c r="G322" s="194"/>
      <c r="H322" s="150"/>
      <c r="I322" s="150"/>
      <c r="J322" s="150"/>
      <c r="K322" s="150"/>
      <c r="L322" s="230"/>
      <c r="M322" s="230"/>
      <c r="N322" s="230"/>
    </row>
    <row r="323" spans="2:14" ht="15">
      <c r="B323" s="427">
        <v>43109</v>
      </c>
      <c r="C323" s="471" t="s">
        <v>367</v>
      </c>
      <c r="D323" s="471"/>
      <c r="E323" s="471"/>
      <c r="F323" s="193">
        <v>-945.01</v>
      </c>
      <c r="G323" s="194"/>
      <c r="H323" s="224" t="s">
        <v>379</v>
      </c>
      <c r="I323" s="150"/>
      <c r="J323" s="150"/>
      <c r="K323" s="230"/>
      <c r="L323" s="230"/>
      <c r="M323" s="230"/>
      <c r="N323" s="230"/>
    </row>
    <row r="324" spans="2:14" ht="15">
      <c r="B324" s="427">
        <v>43122</v>
      </c>
      <c r="C324" s="471" t="s">
        <v>371</v>
      </c>
      <c r="D324" s="471"/>
      <c r="E324" s="471"/>
      <c r="F324" s="193">
        <v>-199.65</v>
      </c>
      <c r="G324" s="194"/>
      <c r="H324" s="224" t="s">
        <v>377</v>
      </c>
      <c r="I324" s="150"/>
      <c r="J324" s="150"/>
      <c r="K324" s="230"/>
      <c r="L324" s="230"/>
      <c r="M324" s="230"/>
      <c r="N324" s="230"/>
    </row>
    <row r="325" spans="2:14" ht="15">
      <c r="B325" s="427">
        <v>43166</v>
      </c>
      <c r="C325" s="471" t="s">
        <v>368</v>
      </c>
      <c r="D325" s="471"/>
      <c r="E325" s="471"/>
      <c r="F325" s="193">
        <v>-1564.6</v>
      </c>
      <c r="G325" s="194"/>
      <c r="H325" s="224" t="s">
        <v>378</v>
      </c>
      <c r="I325" s="150"/>
      <c r="J325" s="150"/>
      <c r="K325" s="230"/>
      <c r="L325" s="230"/>
      <c r="M325" s="230"/>
      <c r="N325" s="230"/>
    </row>
    <row r="326" spans="2:14" ht="15">
      <c r="B326" s="427">
        <v>43234</v>
      </c>
      <c r="C326" s="471" t="s">
        <v>382</v>
      </c>
      <c r="D326" s="471"/>
      <c r="E326" s="471"/>
      <c r="F326" s="193">
        <v>-504.56</v>
      </c>
      <c r="G326" s="194"/>
      <c r="H326" s="224" t="s">
        <v>378</v>
      </c>
      <c r="I326" s="150"/>
      <c r="J326" s="150"/>
      <c r="K326" s="230"/>
      <c r="L326" s="230"/>
      <c r="M326" s="230"/>
      <c r="N326" s="230"/>
    </row>
    <row r="327" spans="2:14" ht="15">
      <c r="B327" s="427">
        <v>43286</v>
      </c>
      <c r="C327" s="471" t="s">
        <v>387</v>
      </c>
      <c r="D327" s="471"/>
      <c r="E327" s="471"/>
      <c r="F327" s="193">
        <v>-693.87</v>
      </c>
      <c r="G327" s="194"/>
      <c r="H327" s="224" t="s">
        <v>404</v>
      </c>
      <c r="I327" s="150"/>
      <c r="J327" s="150"/>
      <c r="K327" s="230"/>
      <c r="L327" s="230"/>
      <c r="M327" s="230"/>
      <c r="N327" s="230"/>
    </row>
    <row r="328" spans="2:14" ht="15">
      <c r="B328" s="427">
        <v>43382</v>
      </c>
      <c r="C328" s="471" t="s">
        <v>398</v>
      </c>
      <c r="D328" s="471"/>
      <c r="E328" s="471"/>
      <c r="F328" s="193">
        <v>-250</v>
      </c>
      <c r="G328" s="194"/>
      <c r="H328" s="224" t="s">
        <v>377</v>
      </c>
      <c r="I328" s="150"/>
      <c r="J328" s="150"/>
      <c r="K328" s="230"/>
      <c r="L328" s="230"/>
      <c r="M328" s="230"/>
      <c r="N328" s="230"/>
    </row>
    <row r="329" spans="2:14" ht="15">
      <c r="B329" s="427">
        <v>43443</v>
      </c>
      <c r="C329" s="471" t="s">
        <v>405</v>
      </c>
      <c r="D329" s="471"/>
      <c r="E329" s="471"/>
      <c r="F329" s="193">
        <f>-5799.99</f>
        <v>-5799.99</v>
      </c>
      <c r="G329" s="194"/>
      <c r="H329" s="224" t="s">
        <v>377</v>
      </c>
      <c r="I329" s="150"/>
      <c r="J329" s="150"/>
      <c r="K329" s="230"/>
      <c r="L329" s="230"/>
      <c r="M329" s="230"/>
      <c r="N329" s="230"/>
    </row>
    <row r="330" spans="2:14" ht="15">
      <c r="B330" s="427">
        <v>43447</v>
      </c>
      <c r="C330" s="471" t="s">
        <v>406</v>
      </c>
      <c r="D330" s="471"/>
      <c r="E330" s="471"/>
      <c r="F330" s="193">
        <v>-3000</v>
      </c>
      <c r="G330" s="194"/>
      <c r="H330" s="224" t="s">
        <v>407</v>
      </c>
      <c r="I330" s="150"/>
      <c r="J330" s="150"/>
      <c r="K330" s="230"/>
      <c r="L330" s="230"/>
      <c r="M330" s="230"/>
      <c r="N330" s="230"/>
    </row>
    <row r="331" spans="2:14" ht="15">
      <c r="B331" s="427"/>
      <c r="C331" s="471"/>
      <c r="D331" s="471"/>
      <c r="E331" s="471"/>
      <c r="F331" s="193"/>
      <c r="G331" s="194"/>
      <c r="H331" s="150"/>
      <c r="I331" s="150"/>
      <c r="J331" s="150"/>
      <c r="K331" s="230"/>
      <c r="L331" s="230"/>
      <c r="M331" s="230"/>
      <c r="N331" s="230"/>
    </row>
    <row r="332" spans="2:14" ht="15.75" thickBot="1">
      <c r="B332" s="427"/>
      <c r="C332" s="471" t="s">
        <v>364</v>
      </c>
      <c r="D332" s="471"/>
      <c r="E332" s="471"/>
      <c r="F332" s="193">
        <f>SUM(F322:F331)</f>
        <v>-12957.68</v>
      </c>
      <c r="G332" s="194"/>
      <c r="H332" s="150"/>
      <c r="I332" s="150"/>
      <c r="J332" s="224"/>
      <c r="K332" s="230"/>
      <c r="L332" s="230"/>
      <c r="M332" s="230"/>
      <c r="N332" s="230"/>
    </row>
    <row r="333" spans="2:14" ht="15">
      <c r="B333" s="596"/>
      <c r="C333" s="597" t="s">
        <v>363</v>
      </c>
      <c r="D333" s="597"/>
      <c r="E333" s="597"/>
      <c r="F333" s="598"/>
      <c r="G333" s="194"/>
      <c r="H333" s="150"/>
      <c r="I333" s="150"/>
      <c r="J333" s="235"/>
      <c r="K333" s="230"/>
      <c r="L333" s="230"/>
      <c r="M333" s="230"/>
      <c r="N333" s="230"/>
    </row>
    <row r="334" spans="2:14" ht="15">
      <c r="B334" s="427">
        <v>42759</v>
      </c>
      <c r="C334" s="471" t="s">
        <v>370</v>
      </c>
      <c r="D334" s="471"/>
      <c r="E334" s="471"/>
      <c r="F334" s="193">
        <v>7120</v>
      </c>
      <c r="G334" s="194"/>
      <c r="H334" s="224" t="s">
        <v>376</v>
      </c>
      <c r="I334" s="150"/>
      <c r="J334" s="235"/>
      <c r="K334" s="230"/>
      <c r="L334" s="230"/>
      <c r="M334" s="230"/>
      <c r="N334" s="230"/>
    </row>
    <row r="335" spans="2:14" ht="15">
      <c r="B335" s="427">
        <f>B19</f>
        <v>43442</v>
      </c>
      <c r="C335" s="427" t="str">
        <f>C19</f>
        <v>overheveling saldo 25 jarig bestaan/tuin</v>
      </c>
      <c r="D335" s="427"/>
      <c r="E335" s="427"/>
      <c r="F335" s="607">
        <f>-F19</f>
        <v>232.6</v>
      </c>
      <c r="G335" s="194"/>
      <c r="H335" s="224" t="s">
        <v>376</v>
      </c>
      <c r="I335" s="150"/>
      <c r="J335" s="235"/>
      <c r="K335" s="230"/>
      <c r="L335" s="230"/>
      <c r="M335" s="230"/>
      <c r="N335" s="230"/>
    </row>
    <row r="336" spans="2:14" ht="15">
      <c r="B336" s="427">
        <f>B39</f>
        <v>43442</v>
      </c>
      <c r="C336" s="471" t="str">
        <f>C39</f>
        <v>overheveling saldo 25 jarig best. Tuin</v>
      </c>
      <c r="D336" s="471"/>
      <c r="E336" s="471"/>
      <c r="F336" s="193">
        <f>-F39</f>
        <v>598.17</v>
      </c>
      <c r="G336" s="194"/>
      <c r="H336" s="224" t="s">
        <v>376</v>
      </c>
      <c r="I336" s="150"/>
      <c r="J336" s="235"/>
      <c r="K336" s="230"/>
      <c r="L336" s="230"/>
      <c r="M336" s="230"/>
      <c r="N336" s="230"/>
    </row>
    <row r="337" spans="2:14" ht="15">
      <c r="B337" s="427"/>
      <c r="C337" s="471"/>
      <c r="D337" s="471"/>
      <c r="E337" s="471"/>
      <c r="F337" s="193"/>
      <c r="G337" s="194"/>
      <c r="H337" s="150"/>
      <c r="I337" s="150"/>
      <c r="J337" s="235"/>
      <c r="K337" s="230"/>
      <c r="L337" s="230"/>
      <c r="M337" s="230"/>
      <c r="N337" s="230"/>
    </row>
    <row r="338" spans="2:14" ht="15.75" thickBot="1">
      <c r="B338" s="599"/>
      <c r="C338" s="600" t="s">
        <v>365</v>
      </c>
      <c r="D338" s="600"/>
      <c r="E338" s="600"/>
      <c r="F338" s="85">
        <f>SUM(F333:F337)</f>
        <v>7950.77</v>
      </c>
      <c r="G338" s="194"/>
      <c r="H338" s="150"/>
      <c r="I338" s="150"/>
      <c r="J338" s="150"/>
      <c r="K338" s="230"/>
      <c r="L338" s="230"/>
      <c r="M338" s="230"/>
      <c r="N338" s="230"/>
    </row>
    <row r="339" spans="2:14" ht="15.75" thickBot="1">
      <c r="B339" s="574">
        <f>B2</f>
        <v>43465</v>
      </c>
      <c r="C339" s="575" t="s">
        <v>2</v>
      </c>
      <c r="D339" s="575"/>
      <c r="E339" s="575"/>
      <c r="F339" s="576">
        <f>F321+F332+F338</f>
        <v>-3630.58</v>
      </c>
      <c r="G339" s="194"/>
      <c r="H339" s="235"/>
      <c r="I339" s="150"/>
      <c r="J339" s="150"/>
      <c r="K339" s="230"/>
      <c r="L339" s="230"/>
      <c r="M339" s="230"/>
      <c r="N339" s="230"/>
    </row>
    <row r="340" spans="1:14" ht="15.75" thickBot="1">
      <c r="A340" s="150"/>
      <c r="B340" s="228"/>
      <c r="C340" s="229"/>
      <c r="D340" s="229"/>
      <c r="E340" s="227"/>
      <c r="F340" s="227"/>
      <c r="G340" s="150"/>
      <c r="H340" s="150"/>
      <c r="I340" s="150"/>
      <c r="J340" s="150"/>
      <c r="K340" s="230"/>
      <c r="L340" s="230"/>
      <c r="M340" s="230"/>
      <c r="N340" s="230"/>
    </row>
    <row r="341" spans="1:14" ht="15">
      <c r="A341" s="122"/>
      <c r="B341" s="255" t="s">
        <v>226</v>
      </c>
      <c r="C341" s="203"/>
      <c r="D341" s="203"/>
      <c r="E341" s="447" t="s">
        <v>141</v>
      </c>
      <c r="F341" s="444"/>
      <c r="G341" s="150"/>
      <c r="H341" s="150"/>
      <c r="I341" s="150"/>
      <c r="J341" s="150"/>
      <c r="K341" s="230"/>
      <c r="L341" s="230"/>
      <c r="M341" s="230"/>
      <c r="N341" s="230"/>
    </row>
    <row r="342" spans="2:14" ht="21">
      <c r="B342" s="26"/>
      <c r="C342" s="24"/>
      <c r="D342" s="24"/>
      <c r="E342" s="24"/>
      <c r="F342" s="58"/>
      <c r="H342" s="150"/>
      <c r="I342" s="150"/>
      <c r="J342" s="150"/>
      <c r="K342" s="605"/>
      <c r="L342" s="605"/>
      <c r="M342" s="605"/>
      <c r="N342" s="605"/>
    </row>
    <row r="343" spans="2:14" ht="15">
      <c r="B343" s="477">
        <v>42760</v>
      </c>
      <c r="C343" s="449" t="s">
        <v>222</v>
      </c>
      <c r="D343" s="449"/>
      <c r="E343" s="449"/>
      <c r="F343" s="196">
        <v>2000</v>
      </c>
      <c r="G343" s="108"/>
      <c r="H343" s="150"/>
      <c r="I343" s="150"/>
      <c r="J343" s="150"/>
      <c r="K343" s="150"/>
      <c r="L343" s="150"/>
      <c r="M343" s="150"/>
      <c r="N343" s="150"/>
    </row>
    <row r="344" spans="2:14" ht="12.75">
      <c r="B344" s="26"/>
      <c r="C344" s="24"/>
      <c r="D344" s="24"/>
      <c r="E344" s="24"/>
      <c r="F344" s="58"/>
      <c r="H344" s="150"/>
      <c r="I344" s="150"/>
      <c r="J344" s="150"/>
      <c r="K344" s="150"/>
      <c r="L344" s="150"/>
      <c r="M344" s="150"/>
      <c r="N344" s="150"/>
    </row>
    <row r="345" spans="2:14" ht="12.75">
      <c r="B345" s="469">
        <v>42768</v>
      </c>
      <c r="C345" s="449" t="s">
        <v>227</v>
      </c>
      <c r="D345" s="449"/>
      <c r="E345" s="449"/>
      <c r="F345" s="468">
        <f>-500</f>
        <v>-500</v>
      </c>
      <c r="G345" s="108"/>
      <c r="H345" s="150"/>
      <c r="I345" s="150"/>
      <c r="J345" s="150"/>
      <c r="K345" s="150"/>
      <c r="L345" s="150"/>
      <c r="M345" s="150"/>
      <c r="N345" s="150"/>
    </row>
    <row r="346" spans="2:14" ht="12.75">
      <c r="B346" s="469">
        <v>42770</v>
      </c>
      <c r="C346" s="449" t="s">
        <v>228</v>
      </c>
      <c r="D346" s="449"/>
      <c r="E346" s="449"/>
      <c r="F346" s="468">
        <f>-574</f>
        <v>-574</v>
      </c>
      <c r="G346" s="108"/>
      <c r="H346" s="150"/>
      <c r="I346" s="150"/>
      <c r="J346" s="150"/>
      <c r="K346" s="150"/>
      <c r="L346" s="150"/>
      <c r="M346" s="150"/>
      <c r="N346" s="150"/>
    </row>
    <row r="347" spans="2:14" ht="12.75">
      <c r="B347" s="455"/>
      <c r="C347" s="24"/>
      <c r="D347" s="24"/>
      <c r="E347" s="24"/>
      <c r="F347" s="58"/>
      <c r="H347" s="150"/>
      <c r="I347" s="150"/>
      <c r="J347" s="150"/>
      <c r="K347" s="150"/>
      <c r="L347" s="150"/>
      <c r="M347" s="150"/>
      <c r="N347" s="150"/>
    </row>
    <row r="348" spans="2:14" ht="12.75">
      <c r="B348" s="268" t="s">
        <v>307</v>
      </c>
      <c r="C348" s="192"/>
      <c r="D348" s="192"/>
      <c r="E348" s="192"/>
      <c r="F348" s="470">
        <f>SUM(F345:F347)</f>
        <v>-1074</v>
      </c>
      <c r="H348" s="150"/>
      <c r="I348" s="150"/>
      <c r="J348" s="150"/>
      <c r="K348" s="150"/>
      <c r="L348" s="150"/>
      <c r="M348" s="150"/>
      <c r="N348" s="150"/>
    </row>
    <row r="349" spans="2:14" ht="12.75">
      <c r="B349" s="213"/>
      <c r="C349" s="150"/>
      <c r="D349" s="24"/>
      <c r="E349" s="24"/>
      <c r="F349" s="58"/>
      <c r="H349" s="150"/>
      <c r="I349" s="150"/>
      <c r="J349" s="150"/>
      <c r="K349" s="150"/>
      <c r="L349" s="150"/>
      <c r="M349" s="150"/>
      <c r="N349" s="150"/>
    </row>
    <row r="350" spans="2:14" ht="15">
      <c r="B350" s="119">
        <f>B321</f>
        <v>43100</v>
      </c>
      <c r="C350" s="262" t="s">
        <v>2</v>
      </c>
      <c r="D350" s="130"/>
      <c r="E350" s="131"/>
      <c r="F350" s="173">
        <v>926</v>
      </c>
      <c r="G350" s="564"/>
      <c r="H350" s="235"/>
      <c r="I350" s="150"/>
      <c r="J350" s="150"/>
      <c r="K350" s="150"/>
      <c r="L350" s="150"/>
      <c r="M350" s="150"/>
      <c r="N350" s="150"/>
    </row>
    <row r="351" spans="2:14" ht="15">
      <c r="B351" s="427"/>
      <c r="C351" s="471" t="s">
        <v>362</v>
      </c>
      <c r="D351" s="471"/>
      <c r="E351" s="471"/>
      <c r="F351" s="193"/>
      <c r="G351" s="564"/>
      <c r="H351" s="150"/>
      <c r="I351" s="150"/>
      <c r="J351" s="150"/>
      <c r="K351" s="150"/>
      <c r="L351" s="150"/>
      <c r="M351" s="150"/>
      <c r="N351" s="150"/>
    </row>
    <row r="352" spans="2:14" ht="15">
      <c r="B352" s="427"/>
      <c r="C352" s="471" t="s">
        <v>364</v>
      </c>
      <c r="D352" s="471"/>
      <c r="E352" s="471"/>
      <c r="F352" s="193">
        <f>SUM(F351:F351)</f>
        <v>0</v>
      </c>
      <c r="G352" s="564"/>
      <c r="H352" s="150"/>
      <c r="I352" s="150"/>
      <c r="J352" s="150"/>
      <c r="K352" s="150"/>
      <c r="L352" s="150"/>
      <c r="M352" s="150"/>
      <c r="N352" s="150"/>
    </row>
    <row r="353" spans="2:14" ht="15">
      <c r="B353" s="427"/>
      <c r="C353" s="471" t="s">
        <v>363</v>
      </c>
      <c r="D353" s="471"/>
      <c r="E353" s="471"/>
      <c r="F353" s="193"/>
      <c r="G353" s="564"/>
      <c r="H353" s="150"/>
      <c r="I353" s="150"/>
      <c r="J353" s="150"/>
      <c r="K353" s="150"/>
      <c r="L353" s="150"/>
      <c r="M353" s="150"/>
      <c r="N353" s="150"/>
    </row>
    <row r="354" spans="2:14" ht="15.75" thickBot="1">
      <c r="B354" s="427"/>
      <c r="C354" s="471" t="s">
        <v>365</v>
      </c>
      <c r="D354" s="471"/>
      <c r="E354" s="471"/>
      <c r="F354" s="193">
        <f>SUM(F353:F353)</f>
        <v>0</v>
      </c>
      <c r="G354" s="564"/>
      <c r="H354" s="150"/>
      <c r="I354" s="150"/>
      <c r="J354" s="150"/>
      <c r="K354" s="150"/>
      <c r="L354" s="150"/>
      <c r="M354" s="150"/>
      <c r="N354" s="150"/>
    </row>
    <row r="355" spans="2:14" ht="15.75" thickBot="1">
      <c r="B355" s="574">
        <f>B2</f>
        <v>43465</v>
      </c>
      <c r="C355" s="575" t="s">
        <v>2</v>
      </c>
      <c r="D355" s="575"/>
      <c r="E355" s="575"/>
      <c r="F355" s="576">
        <f>F350+F352+F354</f>
        <v>926</v>
      </c>
      <c r="G355" s="564"/>
      <c r="H355" s="150"/>
      <c r="I355" s="150"/>
      <c r="J355" s="150"/>
      <c r="K355" s="150"/>
      <c r="L355" s="150"/>
      <c r="M355" s="150"/>
      <c r="N355" s="150"/>
    </row>
    <row r="356" spans="8:14" ht="12.75">
      <c r="H356" s="150"/>
      <c r="I356" s="150"/>
      <c r="J356" s="150"/>
      <c r="K356" s="150"/>
      <c r="L356" s="150"/>
      <c r="M356" s="150"/>
      <c r="N356" s="150"/>
    </row>
    <row r="357" spans="8:14" ht="13.5" thickBot="1">
      <c r="H357" s="150"/>
      <c r="I357" s="150"/>
      <c r="J357" s="150"/>
      <c r="K357" s="150"/>
      <c r="L357" s="150"/>
      <c r="M357" s="150"/>
      <c r="N357" s="150"/>
    </row>
    <row r="358" spans="2:14" ht="15.75" thickBot="1">
      <c r="B358" s="255" t="s">
        <v>140</v>
      </c>
      <c r="C358" s="203"/>
      <c r="D358" s="203"/>
      <c r="E358" s="447" t="s">
        <v>243</v>
      </c>
      <c r="F358" s="444"/>
      <c r="H358" s="150"/>
      <c r="I358" s="150"/>
      <c r="J358" s="150"/>
      <c r="K358" s="150"/>
      <c r="L358" s="150"/>
      <c r="M358" s="150"/>
      <c r="N358" s="150"/>
    </row>
    <row r="359" spans="2:14" ht="15.75" thickBot="1">
      <c r="B359" s="579">
        <v>43465</v>
      </c>
      <c r="C359" s="225"/>
      <c r="D359" s="225"/>
      <c r="E359" s="226"/>
      <c r="F359" s="576">
        <f>'jaarrek 2017 begr 2018 '!H8</f>
        <v>704.3300000000072</v>
      </c>
      <c r="K359" s="150"/>
      <c r="L359" s="150"/>
      <c r="M359" s="150"/>
      <c r="N359" s="150"/>
    </row>
    <row r="360" spans="2:14" ht="15">
      <c r="B360" s="242"/>
      <c r="C360" s="225"/>
      <c r="D360" s="225"/>
      <c r="E360" s="226"/>
      <c r="F360" s="405"/>
      <c r="K360" s="150"/>
      <c r="L360" s="150"/>
      <c r="M360" s="150"/>
      <c r="N360" s="150"/>
    </row>
    <row r="361" spans="2:14" ht="15">
      <c r="B361" s="406">
        <f>B2</f>
        <v>43465</v>
      </c>
      <c r="C361" s="241" t="str">
        <f>C279</f>
        <v>Saldo</v>
      </c>
      <c r="D361" s="263"/>
      <c r="E361" s="248"/>
      <c r="F361" s="240">
        <f>'31 dec 2019'!G29</f>
        <v>704.330000000009</v>
      </c>
      <c r="K361" s="150"/>
      <c r="L361" s="150"/>
      <c r="M361" s="150"/>
      <c r="N361" s="150"/>
    </row>
    <row r="362" spans="2:14" ht="15.75" thickBot="1">
      <c r="B362" s="244"/>
      <c r="C362" s="245"/>
      <c r="D362" s="246"/>
      <c r="E362" s="246"/>
      <c r="F362" s="247"/>
      <c r="K362" s="150"/>
      <c r="L362" s="150"/>
      <c r="M362" s="150"/>
      <c r="N362" s="150"/>
    </row>
    <row r="363" spans="11:14" ht="12.75">
      <c r="K363" s="150"/>
      <c r="L363" s="150"/>
      <c r="M363" s="150"/>
      <c r="N363" s="150"/>
    </row>
    <row r="364" spans="11:14" ht="12.75">
      <c r="K364" s="150"/>
      <c r="L364" s="150"/>
      <c r="M364" s="150"/>
      <c r="N364" s="150"/>
    </row>
    <row r="365" spans="11:14" ht="12.75">
      <c r="K365" s="150"/>
      <c r="L365" s="150"/>
      <c r="M365" s="150"/>
      <c r="N365" s="150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1"/>
  <sheetViews>
    <sheetView zoomScalePageLayoutView="0" workbookViewId="0" topLeftCell="E2">
      <selection activeCell="L14" sqref="L14:L20"/>
    </sheetView>
  </sheetViews>
  <sheetFormatPr defaultColWidth="9.140625" defaultRowHeight="12.75"/>
  <cols>
    <col min="1" max="1" width="33.421875" style="0" customWidth="1"/>
    <col min="2" max="2" width="6.28125" style="0" customWidth="1"/>
    <col min="3" max="3" width="27.7109375" style="0" customWidth="1"/>
    <col min="4" max="4" width="19.8515625" style="0" customWidth="1"/>
    <col min="5" max="5" width="1.28515625" style="0" customWidth="1"/>
    <col min="6" max="6" width="35.00390625" style="0" customWidth="1"/>
    <col min="7" max="7" width="5.57421875" style="0" customWidth="1"/>
    <col min="8" max="8" width="17.00390625" style="0" customWidth="1"/>
    <col min="9" max="9" width="17.57421875" style="0" customWidth="1"/>
    <col min="10" max="10" width="14.421875" style="0" customWidth="1"/>
    <col min="11" max="11" width="3.00390625" style="0" customWidth="1"/>
    <col min="12" max="12" width="47.421875" style="0" customWidth="1"/>
    <col min="13" max="13" width="20.57421875" style="0" customWidth="1"/>
    <col min="14" max="14" width="17.140625" style="0" customWidth="1"/>
    <col min="15" max="15" width="1.7109375" style="0" customWidth="1"/>
    <col min="16" max="16" width="35.00390625" style="0" customWidth="1"/>
    <col min="17" max="17" width="7.8515625" style="0" customWidth="1"/>
    <col min="18" max="18" width="13.8515625" style="0" customWidth="1"/>
    <col min="19" max="19" width="13.7109375" style="0" customWidth="1"/>
    <col min="20" max="20" width="14.00390625" style="0" customWidth="1"/>
  </cols>
  <sheetData>
    <row r="1" spans="1:19" ht="18" thickBot="1">
      <c r="A1" s="294" t="s">
        <v>168</v>
      </c>
      <c r="B1" s="295"/>
      <c r="C1" s="295"/>
      <c r="D1" s="295"/>
      <c r="E1" s="296"/>
      <c r="F1" s="297"/>
      <c r="G1" s="297"/>
      <c r="H1" s="297"/>
      <c r="I1" s="297"/>
      <c r="Q1" s="393"/>
      <c r="R1" s="393"/>
      <c r="S1" s="490"/>
    </row>
    <row r="2" spans="1:20" ht="21" thickBot="1">
      <c r="A2" s="454" t="s">
        <v>408</v>
      </c>
      <c r="B2" s="299"/>
      <c r="C2" s="299"/>
      <c r="D2" s="95" t="s">
        <v>454</v>
      </c>
      <c r="E2" s="300"/>
      <c r="F2" s="301"/>
      <c r="G2" s="301"/>
      <c r="H2" s="301"/>
      <c r="I2" s="301"/>
      <c r="L2" s="454" t="s">
        <v>414</v>
      </c>
      <c r="M2" s="486"/>
      <c r="N2" s="486"/>
      <c r="O2" s="646"/>
      <c r="P2" s="304"/>
      <c r="Q2" s="394"/>
      <c r="R2" s="394"/>
      <c r="S2" s="491"/>
      <c r="T2" s="632"/>
    </row>
    <row r="3" spans="1:20" ht="15">
      <c r="A3" s="306"/>
      <c r="B3" s="307"/>
      <c r="C3" s="307"/>
      <c r="D3" s="307"/>
      <c r="E3" s="308"/>
      <c r="F3" s="309"/>
      <c r="G3" s="309"/>
      <c r="H3" s="309"/>
      <c r="I3" s="512"/>
      <c r="L3" s="310"/>
      <c r="M3" s="311"/>
      <c r="N3" s="311"/>
      <c r="O3" s="647"/>
      <c r="P3" s="313"/>
      <c r="Q3" s="395"/>
      <c r="R3" s="395"/>
      <c r="S3" s="492"/>
      <c r="T3" s="631"/>
    </row>
    <row r="4" spans="1:20" ht="15">
      <c r="A4" s="900" t="s">
        <v>409</v>
      </c>
      <c r="B4" s="901"/>
      <c r="C4" s="901"/>
      <c r="D4" s="901"/>
      <c r="E4" s="901"/>
      <c r="F4" s="901"/>
      <c r="G4" s="901"/>
      <c r="H4" s="901"/>
      <c r="I4" s="902"/>
      <c r="L4" s="315"/>
      <c r="M4" s="313"/>
      <c r="N4" s="313"/>
      <c r="O4" s="648"/>
      <c r="P4" s="313"/>
      <c r="Q4" s="395"/>
      <c r="R4" s="395"/>
      <c r="S4" s="492"/>
      <c r="T4" s="631"/>
    </row>
    <row r="5" spans="1:21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/>
      <c r="I5" s="513"/>
      <c r="L5" s="319" t="s">
        <v>175</v>
      </c>
      <c r="M5" s="396">
        <v>2019</v>
      </c>
      <c r="N5" s="396">
        <v>2018</v>
      </c>
      <c r="O5" s="649"/>
      <c r="P5" s="320" t="s">
        <v>176</v>
      </c>
      <c r="Q5" s="396"/>
      <c r="R5" s="396">
        <v>2019</v>
      </c>
      <c r="S5" s="396">
        <v>2018</v>
      </c>
      <c r="T5" s="631"/>
      <c r="U5" s="150"/>
    </row>
    <row r="6" spans="1:21" ht="15">
      <c r="A6" s="213"/>
      <c r="B6" s="39"/>
      <c r="C6" s="656">
        <v>43465</v>
      </c>
      <c r="D6" s="322">
        <v>43100</v>
      </c>
      <c r="E6" s="33"/>
      <c r="F6" s="324"/>
      <c r="G6" s="324"/>
      <c r="H6" s="323">
        <v>43465</v>
      </c>
      <c r="I6" s="325">
        <v>43100</v>
      </c>
      <c r="L6" s="315"/>
      <c r="M6" s="313"/>
      <c r="N6" s="313"/>
      <c r="O6" s="648"/>
      <c r="P6" s="313"/>
      <c r="Q6" s="395"/>
      <c r="R6" s="395"/>
      <c r="S6" s="492"/>
      <c r="T6" s="58"/>
      <c r="U6" s="150"/>
    </row>
    <row r="7" spans="1:21" ht="15">
      <c r="A7" s="213"/>
      <c r="B7" s="39"/>
      <c r="C7" s="24"/>
      <c r="D7" s="39"/>
      <c r="E7" s="33"/>
      <c r="F7" s="324"/>
      <c r="G7" s="324"/>
      <c r="H7" s="324"/>
      <c r="I7" s="514"/>
      <c r="L7" s="327" t="s">
        <v>70</v>
      </c>
      <c r="M7" s="489">
        <f>C8</f>
        <v>1.5917822615563182E-14</v>
      </c>
      <c r="N7" s="489">
        <f>D8</f>
        <v>232.52</v>
      </c>
      <c r="O7" s="625"/>
      <c r="P7" s="330" t="str">
        <f>'fin overz 31 dec 2016'!E16</f>
        <v>*Tuinwerkgroep</v>
      </c>
      <c r="Q7" s="397" t="str">
        <f>'project 2018'!E6</f>
        <v>nr.1</v>
      </c>
      <c r="R7" s="489">
        <v>0</v>
      </c>
      <c r="S7" s="493">
        <f>'project 2018'!F17</f>
        <v>232.51999999999992</v>
      </c>
      <c r="T7" s="58"/>
      <c r="U7" s="150"/>
    </row>
    <row r="8" spans="1:21" ht="15">
      <c r="A8" s="213" t="s">
        <v>213</v>
      </c>
      <c r="B8" s="39"/>
      <c r="C8" s="214">
        <f>'project 2018 def'!F26</f>
        <v>1.5917822615563182E-14</v>
      </c>
      <c r="D8" s="215">
        <v>232.52</v>
      </c>
      <c r="E8" s="33"/>
      <c r="F8" s="388" t="s">
        <v>204</v>
      </c>
      <c r="G8" s="388"/>
      <c r="H8" s="515">
        <f>-SUM(H10:H21)+H23</f>
        <v>704.3300000000145</v>
      </c>
      <c r="I8" s="515">
        <f>-SUM(I10:I21)+I23</f>
        <v>704.3300000000072</v>
      </c>
      <c r="L8" s="327" t="s">
        <v>215</v>
      </c>
      <c r="M8" s="489">
        <f>C9</f>
        <v>1094.7900000000072</v>
      </c>
      <c r="N8" s="489">
        <f>D9</f>
        <v>5318.25</v>
      </c>
      <c r="O8" s="625"/>
      <c r="P8" s="330" t="str">
        <f>'fin overz 31 dec 2016'!E17</f>
        <v>*Te besteden voor tuin </v>
      </c>
      <c r="Q8" s="397" t="str">
        <f>'project 2018'!E30</f>
        <v>nr. 2</v>
      </c>
      <c r="R8" s="489">
        <v>0</v>
      </c>
      <c r="S8" s="493">
        <f>'project 2018'!F36</f>
        <v>598.1699999999998</v>
      </c>
      <c r="T8" s="58"/>
      <c r="U8" s="150"/>
    </row>
    <row r="9" spans="1:21" ht="15">
      <c r="A9" s="213" t="s">
        <v>293</v>
      </c>
      <c r="B9" s="39"/>
      <c r="C9" s="214">
        <f>A10+'project 2018 def'!F123+'project 2018 def'!F157+'project 2018 def'!F242+'project 2018 def'!F259+'project 2018 def'!F339+'project 2018 def'!F355+'project 2018 def'!F359</f>
        <v>1094.7900000000072</v>
      </c>
      <c r="D9" s="215">
        <v>5318.25</v>
      </c>
      <c r="E9" s="33"/>
      <c r="F9" s="331"/>
      <c r="G9" s="331"/>
      <c r="H9" s="331"/>
      <c r="I9" s="653"/>
      <c r="L9" s="327" t="s">
        <v>73</v>
      </c>
      <c r="M9" s="489">
        <f>C12</f>
        <v>3563.67</v>
      </c>
      <c r="N9" s="489">
        <f>D12</f>
        <v>7537.84</v>
      </c>
      <c r="O9" s="625"/>
      <c r="P9" s="330" t="str">
        <f>'fin overz 31 dec 2016'!E18</f>
        <v>*Te besteden voor algemene publieksact.</v>
      </c>
      <c r="Q9" s="397" t="str">
        <f>'project 2018'!E49</f>
        <v>nr.3</v>
      </c>
      <c r="R9" s="489">
        <v>0</v>
      </c>
      <c r="S9" s="493">
        <f>'project 2018'!F56</f>
        <v>2.2282176104226892E-13</v>
      </c>
      <c r="T9" s="58"/>
      <c r="U9" s="150"/>
    </row>
    <row r="10" spans="1:21" ht="15">
      <c r="A10" s="688">
        <v>1500</v>
      </c>
      <c r="B10" s="24"/>
      <c r="C10" s="24"/>
      <c r="D10" s="24"/>
      <c r="E10" s="33"/>
      <c r="F10" s="331" t="str">
        <f>'31 dec 2019'!E16</f>
        <v>*Tuinwerkgroep</v>
      </c>
      <c r="G10" s="487">
        <f>'31 dec 2019'!F16</f>
        <v>1</v>
      </c>
      <c r="H10" s="215">
        <f>'project 2018'!F26</f>
        <v>-6.934730567564884E-14</v>
      </c>
      <c r="I10" s="267">
        <f>'project 2018'!F17</f>
        <v>232.51999999999992</v>
      </c>
      <c r="J10" s="235"/>
      <c r="K10" s="132"/>
      <c r="L10" s="327"/>
      <c r="M10" s="453"/>
      <c r="N10" s="453"/>
      <c r="O10" s="625"/>
      <c r="P10" s="330" t="str">
        <f>'fin overz 31 dec 2016'!E19</f>
        <v>*Reservering diversen</v>
      </c>
      <c r="Q10" s="397" t="str">
        <f>'project 2018'!E60</f>
        <v>nr.4</v>
      </c>
      <c r="R10" s="489">
        <f>'project 2018'!F123</f>
        <v>14.94000000000007</v>
      </c>
      <c r="S10" s="493">
        <f>'project 2018'!F103</f>
        <v>133.32000000000008</v>
      </c>
      <c r="T10" s="58"/>
      <c r="U10" s="150"/>
    </row>
    <row r="11" spans="1:21" ht="15">
      <c r="A11" s="688" t="s">
        <v>437</v>
      </c>
      <c r="B11" s="24"/>
      <c r="C11" s="24"/>
      <c r="D11" s="24"/>
      <c r="E11" s="33"/>
      <c r="F11" s="331" t="str">
        <f>'31 dec 2019'!E17</f>
        <v>*Te besteden voor tuin </v>
      </c>
      <c r="G11" s="487">
        <f>'31 dec 2019'!F17</f>
        <v>2</v>
      </c>
      <c r="H11" s="215">
        <f>'project 2018'!F45</f>
        <v>-1.1368683772161603E-13</v>
      </c>
      <c r="I11" s="267">
        <f>'project 2018'!F36</f>
        <v>598.1699999999998</v>
      </c>
      <c r="J11" s="235"/>
      <c r="L11" s="327"/>
      <c r="M11" s="453"/>
      <c r="N11" s="453"/>
      <c r="O11" s="625"/>
      <c r="P11" s="330" t="str">
        <f>'fin overz 31 dec 2016'!E20</f>
        <v>*Te besteden voor tentoonstelling</v>
      </c>
      <c r="Q11" s="397" t="str">
        <f>'project 2018'!E126</f>
        <v>nr.5</v>
      </c>
      <c r="R11" s="489">
        <v>0</v>
      </c>
      <c r="S11" s="493">
        <f>'project 2018'!F135</f>
        <v>0</v>
      </c>
      <c r="T11" s="58"/>
      <c r="U11" s="150"/>
    </row>
    <row r="12" spans="1:21" ht="15">
      <c r="A12" s="213" t="s">
        <v>73</v>
      </c>
      <c r="B12" s="39"/>
      <c r="C12" s="214">
        <f>'project 2018 def'!F220-1500</f>
        <v>3563.67</v>
      </c>
      <c r="D12" s="215">
        <v>7537.84</v>
      </c>
      <c r="E12" s="33"/>
      <c r="F12" s="331" t="str">
        <f>'31 dec 2019'!E18</f>
        <v>*Te besteden voor algemene publieksact.</v>
      </c>
      <c r="G12" s="487">
        <f>'31 dec 2019'!F18</f>
        <v>3</v>
      </c>
      <c r="H12" s="215">
        <f>'project 2018'!F56</f>
        <v>2.2282176104226892E-13</v>
      </c>
      <c r="I12" s="267">
        <f>'project 2018'!F56</f>
        <v>2.2282176104226892E-13</v>
      </c>
      <c r="J12" s="235"/>
      <c r="L12" s="327" t="s">
        <v>59</v>
      </c>
      <c r="M12" s="489">
        <v>3</v>
      </c>
      <c r="N12" s="489">
        <v>5</v>
      </c>
      <c r="O12" s="625"/>
      <c r="P12" s="330" t="str">
        <f>'fin overz 31 dec 2016'!E21</f>
        <v>*Te besteden herinrichting ruimte</v>
      </c>
      <c r="Q12" s="397" t="str">
        <f>'project 2018'!E137</f>
        <v>nr.6</v>
      </c>
      <c r="R12" s="489">
        <f>'project 2018'!F160</f>
        <v>31.440000000000012</v>
      </c>
      <c r="S12" s="493">
        <f>'project 2018'!F151</f>
        <v>31.440000000000012</v>
      </c>
      <c r="T12" s="216"/>
      <c r="U12" s="150"/>
    </row>
    <row r="13" spans="1:21" ht="15">
      <c r="A13" s="689">
        <v>1500</v>
      </c>
      <c r="B13" s="214"/>
      <c r="C13" s="24"/>
      <c r="D13" s="214"/>
      <c r="E13" s="33"/>
      <c r="F13" s="331" t="str">
        <f>'31 dec 2019'!E19</f>
        <v>*Reservering diversen</v>
      </c>
      <c r="G13" s="487">
        <f>'31 dec 2019'!F19</f>
        <v>4</v>
      </c>
      <c r="H13" s="215">
        <f>'project 2018'!F123</f>
        <v>14.94000000000007</v>
      </c>
      <c r="I13" s="267">
        <f>'project 2018'!F103</f>
        <v>133.32000000000008</v>
      </c>
      <c r="J13" s="235"/>
      <c r="L13" s="327" t="s">
        <v>180</v>
      </c>
      <c r="M13" s="489">
        <v>50</v>
      </c>
      <c r="N13" s="489">
        <v>50</v>
      </c>
      <c r="O13" s="625"/>
      <c r="P13" s="330" t="str">
        <f>'fin overz 31 dec 2016'!E22</f>
        <v>*Te besteden 50 dingen boekje</v>
      </c>
      <c r="Q13" s="397" t="str">
        <f>'project 2018'!E164</f>
        <v>nr.7</v>
      </c>
      <c r="R13" s="489">
        <f>'project 2018'!F223</f>
        <v>5063.669999999998</v>
      </c>
      <c r="S13" s="493">
        <f>'project 2018'!F204</f>
        <v>7537.839999999998</v>
      </c>
      <c r="T13" s="58"/>
      <c r="U13" s="224"/>
    </row>
    <row r="14" spans="1:21" ht="15">
      <c r="A14" s="688" t="s">
        <v>436</v>
      </c>
      <c r="B14" s="24"/>
      <c r="C14" s="24"/>
      <c r="D14" s="24"/>
      <c r="E14" s="33"/>
      <c r="F14" s="331" t="str">
        <f>'31 dec 2019'!E20</f>
        <v>*Te besteden voor tentoonstelling</v>
      </c>
      <c r="G14" s="487">
        <f>'31 dec 2019'!F20</f>
        <v>5</v>
      </c>
      <c r="H14" s="215">
        <f>'project 2018'!F135</f>
        <v>0</v>
      </c>
      <c r="I14" s="267">
        <f>'project 2018'!F135</f>
        <v>0</v>
      </c>
      <c r="J14" s="235"/>
      <c r="L14" s="327" t="s">
        <v>413</v>
      </c>
      <c r="M14" s="453"/>
      <c r="N14" s="453"/>
      <c r="O14" s="625"/>
      <c r="P14" s="330" t="str">
        <f>'fin overz 31 dec 2016'!E23</f>
        <v>*Basisonderwijs/st. Ronde Venen fonds</v>
      </c>
      <c r="Q14" s="397" t="str">
        <f>'project 2018'!E227</f>
        <v>nr.8</v>
      </c>
      <c r="R14" s="489">
        <f>'project 2018'!F245</f>
        <v>1500</v>
      </c>
      <c r="S14" s="499">
        <f>'project 2018'!F234+N15</f>
        <v>3000</v>
      </c>
      <c r="T14" s="58"/>
      <c r="U14" s="224"/>
    </row>
    <row r="15" spans="1:21" ht="15">
      <c r="A15" s="238"/>
      <c r="B15" s="224"/>
      <c r="C15" s="24"/>
      <c r="D15" s="224"/>
      <c r="E15" s="33"/>
      <c r="F15" s="331" t="str">
        <f>'31 dec 2019'!E21</f>
        <v>*Te besteden herinrichting ruimte</v>
      </c>
      <c r="G15" s="487">
        <f>'31 dec 2019'!F21</f>
        <v>6</v>
      </c>
      <c r="H15" s="215">
        <f>'project 2018'!F160</f>
        <v>31.440000000000012</v>
      </c>
      <c r="I15" s="267">
        <f>'project 2018'!F151</f>
        <v>31.440000000000012</v>
      </c>
      <c r="J15" s="235"/>
      <c r="L15" s="500" t="s">
        <v>295</v>
      </c>
      <c r="M15" s="453"/>
      <c r="N15" s="489">
        <v>3000</v>
      </c>
      <c r="O15" s="625"/>
      <c r="P15" s="330" t="str">
        <f>'fin overz 31 dec 2016'!E24</f>
        <v>*Stichting Doen/Oranjefonds</v>
      </c>
      <c r="Q15" s="397" t="str">
        <f>'project 2018'!E248</f>
        <v>nr.9</v>
      </c>
      <c r="R15" s="489">
        <f>'project 2018'!F266</f>
        <v>48.66</v>
      </c>
      <c r="S15" s="493">
        <f>'project 2018'!F257</f>
        <v>48.66</v>
      </c>
      <c r="T15" s="58"/>
      <c r="U15" s="224"/>
    </row>
    <row r="16" spans="1:21" ht="15">
      <c r="A16" s="238"/>
      <c r="B16" s="224"/>
      <c r="C16" s="24"/>
      <c r="D16" s="224"/>
      <c r="E16" s="33"/>
      <c r="F16" s="331" t="str">
        <f>'31 dec 2019'!E22</f>
        <v>*Te besteden 50 dingen boekje</v>
      </c>
      <c r="G16" s="487">
        <f>'31 dec 2019'!F22</f>
        <v>7</v>
      </c>
      <c r="H16" s="215">
        <f>'project 2018'!F223</f>
        <v>5063.669999999998</v>
      </c>
      <c r="I16" s="267">
        <f>'project 2018'!F204</f>
        <v>7537.839999999998</v>
      </c>
      <c r="J16" s="235"/>
      <c r="L16" s="500" t="s">
        <v>434</v>
      </c>
      <c r="M16" s="489">
        <v>4000</v>
      </c>
      <c r="N16" s="489">
        <v>13620</v>
      </c>
      <c r="O16" s="625"/>
      <c r="P16" s="330" t="str">
        <f>'fin overz 31 dec 2016'!E25</f>
        <v>*Rotary Vinkeveen</v>
      </c>
      <c r="Q16" s="397" t="str">
        <f>'project 2018'!E268</f>
        <v>nr 10</v>
      </c>
      <c r="R16" s="489">
        <f>'project 2018'!F277</f>
        <v>0</v>
      </c>
      <c r="S16" s="493">
        <f>'project 2018'!F277</f>
        <v>0</v>
      </c>
      <c r="T16" s="58"/>
      <c r="U16" s="224"/>
    </row>
    <row r="17" spans="1:21" ht="15">
      <c r="A17" s="213"/>
      <c r="B17" s="39"/>
      <c r="C17" s="24"/>
      <c r="D17" s="39"/>
      <c r="E17" s="33"/>
      <c r="F17" s="331" t="str">
        <f>'31 dec 2019'!E23</f>
        <v>*Basisonderwijs/st. Ronde Venen fonds</v>
      </c>
      <c r="G17" s="487">
        <f>'31 dec 2019'!F23</f>
        <v>8</v>
      </c>
      <c r="H17" s="215">
        <f>'project 2018'!F245</f>
        <v>1500</v>
      </c>
      <c r="I17" s="267">
        <f>'project 2018'!F236</f>
        <v>1500</v>
      </c>
      <c r="J17" s="235"/>
      <c r="L17" s="327" t="s">
        <v>435</v>
      </c>
      <c r="M17" s="489">
        <v>1000</v>
      </c>
      <c r="N17" s="453"/>
      <c r="O17" s="625"/>
      <c r="P17" s="330" t="str">
        <f>'fin overz 31 dec 2016'!E26</f>
        <v>*25 jarig bestaan</v>
      </c>
      <c r="Q17" s="397" t="str">
        <f>'project 2018'!E280</f>
        <v>nr.11</v>
      </c>
      <c r="R17" s="611">
        <v>1369.42</v>
      </c>
      <c r="S17" s="498">
        <v>15664.05</v>
      </c>
      <c r="T17" s="58" t="s">
        <v>417</v>
      </c>
      <c r="U17" s="235"/>
    </row>
    <row r="18" spans="1:20" ht="15">
      <c r="A18" s="213"/>
      <c r="B18" s="39"/>
      <c r="C18" s="24"/>
      <c r="D18" s="39"/>
      <c r="E18" s="33"/>
      <c r="F18" s="331" t="str">
        <f>'31 dec 2019'!E24</f>
        <v>*Stichting Doen/Oranjefonds</v>
      </c>
      <c r="G18" s="487">
        <f>'31 dec 2019'!F24</f>
        <v>9</v>
      </c>
      <c r="H18" s="215">
        <f>'project 2018'!F266</f>
        <v>48.66</v>
      </c>
      <c r="I18" s="267">
        <f>'project 2018'!F257</f>
        <v>48.66</v>
      </c>
      <c r="J18" s="235"/>
      <c r="L18" s="327" t="s">
        <v>294</v>
      </c>
      <c r="M18" s="489"/>
      <c r="N18" s="453"/>
      <c r="O18" s="625"/>
      <c r="P18" s="453" t="s">
        <v>223</v>
      </c>
      <c r="Q18" s="398" t="str">
        <f>'project 2018'!E351</f>
        <v>nr 12</v>
      </c>
      <c r="R18" s="612">
        <f>'project 2018'!F369</f>
        <v>926</v>
      </c>
      <c r="S18" s="494">
        <f>'project 2018'!F360</f>
        <v>926</v>
      </c>
      <c r="T18" s="58"/>
    </row>
    <row r="19" spans="1:20" ht="15">
      <c r="A19" s="213"/>
      <c r="B19" s="39"/>
      <c r="C19" s="24"/>
      <c r="D19" s="39"/>
      <c r="E19" s="33"/>
      <c r="F19" s="331" t="str">
        <f>'31 dec 2019'!E25</f>
        <v>*Rotary Vinkeveen</v>
      </c>
      <c r="G19" s="487">
        <f>'31 dec 2019'!F25</f>
        <v>10</v>
      </c>
      <c r="H19" s="215">
        <f>'project 2018'!F277</f>
        <v>0</v>
      </c>
      <c r="I19" s="267">
        <f>'project 2018'!F277</f>
        <v>0</v>
      </c>
      <c r="J19" s="235"/>
      <c r="L19" s="500" t="s">
        <v>440</v>
      </c>
      <c r="M19" s="489">
        <v>2000</v>
      </c>
      <c r="N19" s="453"/>
      <c r="O19" s="625"/>
      <c r="P19" s="334"/>
      <c r="Q19" s="398"/>
      <c r="R19" s="612"/>
      <c r="S19" s="494"/>
      <c r="T19" s="58"/>
    </row>
    <row r="20" spans="1:20" ht="15">
      <c r="A20" s="213"/>
      <c r="B20" s="39"/>
      <c r="C20" s="24"/>
      <c r="D20" s="39"/>
      <c r="E20" s="33"/>
      <c r="F20" s="331" t="str">
        <f>'31 dec 2019'!E26</f>
        <v>*25 jarig bestaan</v>
      </c>
      <c r="G20" s="487">
        <f>'31 dec 2019'!F26</f>
        <v>11</v>
      </c>
      <c r="H20" s="617">
        <f>'project 2018'!F346</f>
        <v>-3630.5800000000054</v>
      </c>
      <c r="I20" s="267">
        <f>'project 2018'!F328</f>
        <v>1376.3299999999945</v>
      </c>
      <c r="J20" s="235"/>
      <c r="L20" s="500" t="s">
        <v>439</v>
      </c>
      <c r="M20" s="489">
        <v>2500</v>
      </c>
      <c r="N20" s="489"/>
      <c r="O20" s="625"/>
      <c r="P20" s="334"/>
      <c r="Q20" s="398"/>
      <c r="R20" s="612"/>
      <c r="S20" s="494"/>
      <c r="T20" s="216"/>
    </row>
    <row r="21" spans="1:20" ht="15">
      <c r="A21" s="213"/>
      <c r="B21" s="39"/>
      <c r="C21" s="24"/>
      <c r="D21" s="39"/>
      <c r="E21" s="33"/>
      <c r="F21" s="331" t="str">
        <f>'31 dec 2019'!E27</f>
        <v>*Ontwikkeling NME (1)</v>
      </c>
      <c r="G21" s="487">
        <f>'31 dec 2019'!F27</f>
        <v>12</v>
      </c>
      <c r="H21" s="215">
        <f>'project 2018'!F369</f>
        <v>926</v>
      </c>
      <c r="I21" s="267">
        <f>'project 2018'!F360</f>
        <v>926</v>
      </c>
      <c r="J21" s="235"/>
      <c r="L21" s="327"/>
      <c r="M21" s="453"/>
      <c r="N21" s="489"/>
      <c r="O21" s="625"/>
      <c r="P21" s="453" t="s">
        <v>224</v>
      </c>
      <c r="Q21" s="398"/>
      <c r="R21" s="612">
        <f>SUM(R7:R20)</f>
        <v>8954.129999999997</v>
      </c>
      <c r="S21" s="494">
        <f>SUM(S7:S20)</f>
        <v>28172</v>
      </c>
      <c r="T21" s="216"/>
    </row>
    <row r="22" spans="1:20" ht="15.75" thickBot="1">
      <c r="A22" s="213"/>
      <c r="B22" s="39"/>
      <c r="C22" s="24"/>
      <c r="D22" s="39"/>
      <c r="E22" s="33"/>
      <c r="F22" s="331"/>
      <c r="G22" s="331"/>
      <c r="H22" s="215">
        <f>SUM(H10:H21)</f>
        <v>3954.129999999993</v>
      </c>
      <c r="I22" s="267"/>
      <c r="J22" s="331"/>
      <c r="L22" s="355"/>
      <c r="M22" s="525"/>
      <c r="N22" s="525"/>
      <c r="O22" s="625"/>
      <c r="P22" s="502" t="s">
        <v>163</v>
      </c>
      <c r="Q22" s="503"/>
      <c r="R22" s="613">
        <f>R23-R21</f>
        <v>2757.330000000009</v>
      </c>
      <c r="S22" s="504">
        <f>S23-S21</f>
        <v>1591.6100000000006</v>
      </c>
      <c r="T22" s="216"/>
    </row>
    <row r="23" spans="1:20" ht="15" thickBot="1">
      <c r="A23" s="413" t="s">
        <v>205</v>
      </c>
      <c r="B23" s="339"/>
      <c r="C23" s="339">
        <f>SUM(C8:C14)</f>
        <v>4658.460000000007</v>
      </c>
      <c r="D23" s="339">
        <f>SUM(D8:D14)</f>
        <v>13088.61</v>
      </c>
      <c r="E23" s="340"/>
      <c r="F23" s="341"/>
      <c r="G23" s="341"/>
      <c r="H23" s="339">
        <f>C23</f>
        <v>4658.460000000007</v>
      </c>
      <c r="I23" s="343">
        <f>D23</f>
        <v>13088.61</v>
      </c>
      <c r="J23" s="339"/>
      <c r="K23" s="132"/>
      <c r="L23" s="633" t="s">
        <v>79</v>
      </c>
      <c r="M23" s="634">
        <f>SUM(M7:M19)</f>
        <v>11711.460000000006</v>
      </c>
      <c r="N23" s="634">
        <f>SUM(N7:N19)</f>
        <v>29763.61</v>
      </c>
      <c r="O23" s="650"/>
      <c r="P23" s="645" t="s">
        <v>79</v>
      </c>
      <c r="Q23" s="635"/>
      <c r="R23" s="634">
        <f>M23</f>
        <v>11711.460000000006</v>
      </c>
      <c r="S23" s="636">
        <f>N23</f>
        <v>29763.61</v>
      </c>
      <c r="T23" s="211"/>
    </row>
    <row r="24" spans="1:20" ht="15" thickBot="1">
      <c r="A24" s="349"/>
      <c r="B24" s="350"/>
      <c r="C24" s="350"/>
      <c r="D24" s="350"/>
      <c r="E24" s="352"/>
      <c r="F24" s="488"/>
      <c r="G24" s="350"/>
      <c r="H24" s="350"/>
      <c r="I24" s="654"/>
      <c r="L24" s="637"/>
      <c r="M24" s="638"/>
      <c r="N24" s="638"/>
      <c r="O24" s="639"/>
      <c r="P24" s="640"/>
      <c r="Q24" s="641"/>
      <c r="R24" s="641"/>
      <c r="S24" s="642"/>
      <c r="T24" s="211"/>
    </row>
    <row r="25" spans="1:21" ht="15" thickBot="1">
      <c r="A25" s="349"/>
      <c r="B25" s="350"/>
      <c r="C25" s="350"/>
      <c r="D25" s="350"/>
      <c r="E25" s="352"/>
      <c r="F25" s="24"/>
      <c r="G25" s="24"/>
      <c r="H25" s="214"/>
      <c r="I25" s="58"/>
      <c r="L25" s="643" t="s">
        <v>415</v>
      </c>
      <c r="M25" s="626"/>
      <c r="N25" s="627"/>
      <c r="O25" s="651"/>
      <c r="P25" s="628" t="s">
        <v>418</v>
      </c>
      <c r="Q25" s="629"/>
      <c r="R25" s="629"/>
      <c r="S25" s="495"/>
      <c r="T25" s="644"/>
      <c r="U25" s="501"/>
    </row>
    <row r="26" spans="1:21" ht="15" thickBot="1">
      <c r="A26" s="306" t="s">
        <v>412</v>
      </c>
      <c r="B26" s="37"/>
      <c r="C26" s="511">
        <f>C23-D23</f>
        <v>-8430.149999999994</v>
      </c>
      <c r="D26" s="687"/>
      <c r="E26" s="308"/>
      <c r="F26" s="307"/>
      <c r="G26" s="307"/>
      <c r="H26" s="580"/>
      <c r="I26" s="655"/>
      <c r="L26" s="618" t="s">
        <v>416</v>
      </c>
      <c r="M26" s="619"/>
      <c r="N26" s="620"/>
      <c r="O26" s="652"/>
      <c r="P26" s="619"/>
      <c r="Q26" s="621"/>
      <c r="R26" s="622"/>
      <c r="S26" s="623"/>
      <c r="T26" s="624"/>
      <c r="U26" s="501"/>
    </row>
    <row r="27" spans="1:20" ht="15">
      <c r="A27" s="903" t="s">
        <v>410</v>
      </c>
      <c r="B27" s="904"/>
      <c r="C27" s="904"/>
      <c r="D27" s="904"/>
      <c r="E27" s="904"/>
      <c r="F27" s="904"/>
      <c r="G27" s="904"/>
      <c r="H27" s="904"/>
      <c r="I27" s="905"/>
      <c r="L27" s="586"/>
      <c r="M27" s="586"/>
      <c r="N27" s="587"/>
      <c r="O27" s="150"/>
      <c r="P27" s="150"/>
      <c r="Q27" s="401"/>
      <c r="R27" s="401"/>
      <c r="S27" s="495"/>
      <c r="T27" s="150"/>
    </row>
    <row r="28" spans="1:21" ht="13.5">
      <c r="A28" s="362" t="s">
        <v>175</v>
      </c>
      <c r="B28" s="363"/>
      <c r="C28" s="363"/>
      <c r="D28" s="363"/>
      <c r="E28" s="365"/>
      <c r="F28" s="317" t="s">
        <v>176</v>
      </c>
      <c r="G28" s="317"/>
      <c r="H28" s="317"/>
      <c r="I28" s="513"/>
      <c r="L28" s="586"/>
      <c r="M28" s="586"/>
      <c r="N28" s="630"/>
      <c r="O28" s="150"/>
      <c r="P28" s="150"/>
      <c r="Q28" s="401"/>
      <c r="R28" s="401"/>
      <c r="S28" s="495"/>
      <c r="T28" s="150"/>
      <c r="U28" s="150"/>
    </row>
    <row r="29" spans="1:21" ht="12.75">
      <c r="A29" s="26"/>
      <c r="B29" s="24"/>
      <c r="C29" s="24">
        <v>2018</v>
      </c>
      <c r="D29" s="24">
        <v>2017</v>
      </c>
      <c r="E29" s="368"/>
      <c r="F29" s="24"/>
      <c r="G29" s="24"/>
      <c r="H29" s="24">
        <v>2018</v>
      </c>
      <c r="I29" s="58">
        <v>2017</v>
      </c>
      <c r="L29" s="586"/>
      <c r="M29" s="586"/>
      <c r="N29" s="587"/>
      <c r="O29" s="150"/>
      <c r="P29" s="150"/>
      <c r="Q29" s="401"/>
      <c r="R29" s="401"/>
      <c r="S29" s="495"/>
      <c r="T29" s="150"/>
      <c r="U29" s="150"/>
    </row>
    <row r="30" spans="1:21" ht="13.5">
      <c r="A30" s="49"/>
      <c r="B30" s="20"/>
      <c r="C30" s="20"/>
      <c r="D30" s="20"/>
      <c r="E30" s="24"/>
      <c r="F30" s="39" t="s">
        <v>210</v>
      </c>
      <c r="G30" s="20" t="str">
        <f>'project 2018'!E6</f>
        <v>nr.1</v>
      </c>
      <c r="H30" s="214">
        <f>-'project 2018'!F21</f>
        <v>232.6</v>
      </c>
      <c r="I30" s="216">
        <f>-'project 2018'!F16</f>
        <v>158.3</v>
      </c>
      <c r="L30" s="586"/>
      <c r="M30" s="586"/>
      <c r="N30" s="587"/>
      <c r="O30" s="235"/>
      <c r="P30" s="235"/>
      <c r="Q30" s="401"/>
      <c r="R30" s="401"/>
      <c r="S30" s="495"/>
      <c r="T30" s="235"/>
      <c r="U30" s="150"/>
    </row>
    <row r="31" spans="1:21" ht="12.75">
      <c r="A31" s="213" t="s">
        <v>194</v>
      </c>
      <c r="B31" s="224" t="str">
        <f>'project 2018'!E6</f>
        <v>nr.1</v>
      </c>
      <c r="C31" s="252">
        <f>'project 2018'!F25</f>
        <v>0.08</v>
      </c>
      <c r="D31" s="215">
        <v>1.13</v>
      </c>
      <c r="E31" s="39"/>
      <c r="F31" s="656" t="str">
        <f>'project 2018'!B30</f>
        <v>SC Johnson/ aanpassen tuin</v>
      </c>
      <c r="G31" s="24" t="str">
        <f>'project 2018'!E30</f>
        <v>nr. 2</v>
      </c>
      <c r="H31" s="214">
        <f>-'project 2018'!F40</f>
        <v>598.17</v>
      </c>
      <c r="I31" s="216"/>
      <c r="J31" s="121"/>
      <c r="K31" s="121"/>
      <c r="L31" s="586"/>
      <c r="M31" s="586"/>
      <c r="N31" s="586"/>
      <c r="O31" s="235"/>
      <c r="P31" s="235"/>
      <c r="Q31" s="401"/>
      <c r="R31" s="401"/>
      <c r="S31" s="495"/>
      <c r="T31" s="235"/>
      <c r="U31" s="150"/>
    </row>
    <row r="32" spans="1:21" ht="12.75">
      <c r="A32" s="213" t="s">
        <v>67</v>
      </c>
      <c r="B32" s="224" t="str">
        <f>'project 2018'!E60</f>
        <v>nr.4</v>
      </c>
      <c r="C32" s="252">
        <f>'project 2018'!F122</f>
        <v>1.94</v>
      </c>
      <c r="D32" s="215">
        <v>213.92</v>
      </c>
      <c r="E32" s="39"/>
      <c r="F32" s="39" t="s">
        <v>191</v>
      </c>
      <c r="G32" s="39" t="str">
        <f>'project 2018'!E49</f>
        <v>nr.3</v>
      </c>
      <c r="H32" s="214">
        <v>0</v>
      </c>
      <c r="I32" s="216">
        <f>-'project 2018'!F55</f>
        <v>0.63</v>
      </c>
      <c r="J32" s="121"/>
      <c r="K32" s="121"/>
      <c r="L32" s="586"/>
      <c r="M32" s="586"/>
      <c r="N32" s="630"/>
      <c r="O32" s="235"/>
      <c r="P32" s="235"/>
      <c r="Q32" s="401"/>
      <c r="R32" s="401"/>
      <c r="S32" s="495"/>
      <c r="T32" s="235"/>
      <c r="U32" s="150"/>
    </row>
    <row r="33" spans="1:21" ht="12.75">
      <c r="A33" s="28" t="str">
        <f>'project 2018'!B164</f>
        <v>50 dingen boekje</v>
      </c>
      <c r="B33" s="150" t="str">
        <f>'project 2018'!E164</f>
        <v>nr.7</v>
      </c>
      <c r="C33" s="252">
        <f>'project 2018'!F222</f>
        <v>1.68</v>
      </c>
      <c r="D33" s="214">
        <f>'project 2018'!F196</f>
        <v>103.28999999999999</v>
      </c>
      <c r="E33" s="39"/>
      <c r="F33" s="39" t="s">
        <v>211</v>
      </c>
      <c r="G33" s="39" t="str">
        <f>'project 2018'!E60</f>
        <v>nr.4</v>
      </c>
      <c r="H33" s="214">
        <f>-'project 2018'!F118</f>
        <v>120.32000000000001</v>
      </c>
      <c r="I33" s="216">
        <f>-'project 2018'!F101</f>
        <v>179.83</v>
      </c>
      <c r="J33" s="253"/>
      <c r="K33" s="252"/>
      <c r="L33" s="150"/>
      <c r="M33" s="150"/>
      <c r="N33" s="150"/>
      <c r="O33" s="235"/>
      <c r="P33" s="235"/>
      <c r="Q33" s="401"/>
      <c r="R33" s="401"/>
      <c r="S33" s="495"/>
      <c r="T33" s="235"/>
      <c r="U33" s="150"/>
    </row>
    <row r="34" spans="1:21" ht="12.75">
      <c r="A34" s="213" t="str">
        <f>'project 2018'!B227</f>
        <v>Basis onderwijs</v>
      </c>
      <c r="B34" s="150" t="str">
        <f>'project 2018'!E227</f>
        <v>nr.8</v>
      </c>
      <c r="C34" s="235">
        <f>'project 2018'!F242</f>
        <v>3000</v>
      </c>
      <c r="D34" s="214">
        <f>'project 2018'!F235</f>
        <v>1500</v>
      </c>
      <c r="E34" s="39"/>
      <c r="F34" s="39" t="s">
        <v>45</v>
      </c>
      <c r="G34" s="39" t="str">
        <f>'project 2018'!E126</f>
        <v>nr.5</v>
      </c>
      <c r="H34" s="214">
        <v>0</v>
      </c>
      <c r="I34" s="216">
        <v>2084</v>
      </c>
      <c r="J34" s="253"/>
      <c r="K34" s="252"/>
      <c r="L34" s="150"/>
      <c r="M34" s="150"/>
      <c r="N34" s="150"/>
      <c r="O34" s="235"/>
      <c r="P34" s="252"/>
      <c r="Q34" s="402"/>
      <c r="R34" s="402"/>
      <c r="S34" s="496"/>
      <c r="T34" s="235"/>
      <c r="U34" s="150"/>
    </row>
    <row r="35" spans="1:21" ht="12.75">
      <c r="A35" s="389" t="str">
        <f>'project 2016'!C129</f>
        <v>Donatie St. De Ronde Venen</v>
      </c>
      <c r="B35" s="220" t="str">
        <f>'project 2018'!E280</f>
        <v>nr.11</v>
      </c>
      <c r="C35" s="508">
        <f>'project 2018'!F345</f>
        <v>7950.77</v>
      </c>
      <c r="D35" s="214">
        <f>'project 2018'!F299</f>
        <v>9982.28</v>
      </c>
      <c r="E35" s="39"/>
      <c r="F35" s="39" t="s">
        <v>308</v>
      </c>
      <c r="G35" s="224" t="str">
        <f>'project 2018'!E137</f>
        <v>nr.6</v>
      </c>
      <c r="H35" s="214">
        <f>'project 2018'!F155</f>
        <v>0</v>
      </c>
      <c r="I35" s="216">
        <f>-'project 2018'!F150</f>
        <v>68.7</v>
      </c>
      <c r="J35" s="253"/>
      <c r="K35" s="252"/>
      <c r="L35" s="150"/>
      <c r="M35" s="150"/>
      <c r="N35" s="150"/>
      <c r="O35" s="235"/>
      <c r="P35" s="235"/>
      <c r="Q35" s="401"/>
      <c r="R35" s="401"/>
      <c r="S35" s="495"/>
      <c r="T35" s="235"/>
      <c r="U35" s="150"/>
    </row>
    <row r="36" spans="1:21" ht="12.75">
      <c r="A36" s="389" t="str">
        <f>'project 2018'!B351</f>
        <v>Stimulering NME</v>
      </c>
      <c r="B36" s="220" t="str">
        <f>'project 2018'!E351</f>
        <v>nr 12</v>
      </c>
      <c r="C36" s="508">
        <f>'project 2018'!F368</f>
        <v>0</v>
      </c>
      <c r="D36" s="214">
        <f>'project 2018'!F353</f>
        <v>2000</v>
      </c>
      <c r="E36" s="331"/>
      <c r="F36" s="39" t="s">
        <v>83</v>
      </c>
      <c r="G36" s="150" t="str">
        <f>'project 2018'!E164</f>
        <v>nr.7</v>
      </c>
      <c r="H36" s="214">
        <f>-'project 2018'!F218</f>
        <v>2475.85</v>
      </c>
      <c r="I36" s="216">
        <f>-'project 2018'!F203</f>
        <v>718.76</v>
      </c>
      <c r="J36" s="253"/>
      <c r="K36" s="252"/>
      <c r="L36" s="150"/>
      <c r="M36" s="150"/>
      <c r="N36" s="150"/>
      <c r="O36" s="235"/>
      <c r="P36" s="235"/>
      <c r="Q36" s="401"/>
      <c r="R36" s="401"/>
      <c r="S36" s="495"/>
      <c r="T36" s="235"/>
      <c r="U36" s="150"/>
    </row>
    <row r="37" spans="1:21" ht="12.75">
      <c r="A37" s="389"/>
      <c r="B37" s="220"/>
      <c r="C37" s="508"/>
      <c r="D37" s="214"/>
      <c r="E37" s="331"/>
      <c r="F37" s="322" t="str">
        <f>'project 2016'!C132</f>
        <v>stimuler.bijdr NME ODRU</v>
      </c>
      <c r="G37" s="220" t="str">
        <f>'project 2018'!E227</f>
        <v>nr.8</v>
      </c>
      <c r="H37" s="214">
        <f>-'project 2018'!F240</f>
        <v>3000</v>
      </c>
      <c r="I37" s="216">
        <v>0</v>
      </c>
      <c r="J37" s="253"/>
      <c r="L37" s="150"/>
      <c r="M37" s="150"/>
      <c r="N37" s="150"/>
      <c r="O37" s="235"/>
      <c r="P37" s="235"/>
      <c r="Q37" s="401"/>
      <c r="R37" s="401"/>
      <c r="S37" s="495"/>
      <c r="T37" s="235"/>
      <c r="U37" s="150"/>
    </row>
    <row r="38" spans="1:21" ht="12.75">
      <c r="A38" s="238"/>
      <c r="B38" s="224"/>
      <c r="C38" s="224"/>
      <c r="D38" s="224"/>
      <c r="E38" s="331"/>
      <c r="F38" s="24" t="str">
        <f>'project 2018'!B280</f>
        <v>25 jarig bestaan</v>
      </c>
      <c r="G38" s="24" t="str">
        <f>'project 2018'!E280</f>
        <v>nr.11</v>
      </c>
      <c r="H38" s="214">
        <f>-'project 2018'!F339</f>
        <v>12957.68</v>
      </c>
      <c r="I38" s="216">
        <f>-'project 2018'!F326</f>
        <v>18605.950000000004</v>
      </c>
      <c r="L38" s="224"/>
      <c r="M38" s="224"/>
      <c r="N38" s="224"/>
      <c r="O38" s="235"/>
      <c r="P38" s="235"/>
      <c r="Q38" s="401"/>
      <c r="R38" s="401"/>
      <c r="S38" s="495"/>
      <c r="T38" s="235"/>
      <c r="U38" s="150"/>
    </row>
    <row r="39" spans="1:21" ht="12.75">
      <c r="A39" s="238"/>
      <c r="B39" s="224"/>
      <c r="C39" s="224"/>
      <c r="D39" s="224"/>
      <c r="E39" s="331"/>
      <c r="F39" s="24" t="str">
        <f>'project 2018'!B351</f>
        <v>Stimulering NME</v>
      </c>
      <c r="G39" s="24" t="str">
        <f>'project 2018'!E351</f>
        <v>nr 12</v>
      </c>
      <c r="H39" s="214">
        <f>'project 2018'!F364</f>
        <v>0</v>
      </c>
      <c r="I39" s="216">
        <f>-'project 2018'!F358</f>
        <v>1074</v>
      </c>
      <c r="L39" s="224"/>
      <c r="M39" s="224"/>
      <c r="N39" s="224"/>
      <c r="O39" s="235"/>
      <c r="P39" s="235"/>
      <c r="Q39" s="401"/>
      <c r="R39" s="401"/>
      <c r="S39" s="495"/>
      <c r="T39" s="252"/>
      <c r="U39" s="150"/>
    </row>
    <row r="40" spans="1:21" ht="12.75">
      <c r="A40" s="238"/>
      <c r="B40" s="224"/>
      <c r="C40" s="224"/>
      <c r="D40" s="224"/>
      <c r="E40" s="331"/>
      <c r="F40" s="24"/>
      <c r="G40" s="24"/>
      <c r="H40" s="614"/>
      <c r="I40" s="216"/>
      <c r="L40" s="224"/>
      <c r="M40" s="224"/>
      <c r="N40" s="224"/>
      <c r="O40" s="235"/>
      <c r="P40" s="235"/>
      <c r="Q40" s="401"/>
      <c r="R40" s="401"/>
      <c r="S40" s="495"/>
      <c r="T40" s="252"/>
      <c r="U40" s="150"/>
    </row>
    <row r="41" spans="1:21" ht="12.75">
      <c r="A41" s="407" t="s">
        <v>219</v>
      </c>
      <c r="B41" s="408"/>
      <c r="C41" s="409">
        <f>SUM(C31:C39)</f>
        <v>10954.470000000001</v>
      </c>
      <c r="D41" s="409">
        <v>13800.630000000001</v>
      </c>
      <c r="E41" s="372"/>
      <c r="F41" s="408" t="s">
        <v>218</v>
      </c>
      <c r="G41" s="408"/>
      <c r="H41" s="615">
        <f>SUM(H30:H39)</f>
        <v>19384.620000000003</v>
      </c>
      <c r="I41" s="657">
        <f>SUM(I30:I39)</f>
        <v>22890.170000000006</v>
      </c>
      <c r="L41" s="150"/>
      <c r="M41" s="150"/>
      <c r="N41" s="150"/>
      <c r="O41" s="150"/>
      <c r="P41" s="235"/>
      <c r="Q41" s="401"/>
      <c r="R41" s="401"/>
      <c r="S41" s="495"/>
      <c r="T41" s="150"/>
      <c r="U41" s="150"/>
    </row>
    <row r="42" spans="1:21" ht="15">
      <c r="A42" s="26"/>
      <c r="B42" s="24"/>
      <c r="C42" s="24"/>
      <c r="D42" s="24"/>
      <c r="E42" s="331"/>
      <c r="F42" s="391" t="s">
        <v>411</v>
      </c>
      <c r="G42" s="24"/>
      <c r="H42" s="616">
        <f>C41-H41</f>
        <v>-8430.150000000001</v>
      </c>
      <c r="I42" s="658"/>
      <c r="L42" s="150"/>
      <c r="M42" s="150"/>
      <c r="N42" s="150"/>
      <c r="O42" s="150"/>
      <c r="P42" s="227"/>
      <c r="Q42" s="403"/>
      <c r="R42" s="403"/>
      <c r="S42" s="497"/>
      <c r="T42" s="150"/>
      <c r="U42" s="150"/>
    </row>
    <row r="43" spans="1:21" ht="13.5">
      <c r="A43" s="213"/>
      <c r="B43" s="24"/>
      <c r="C43" s="24"/>
      <c r="D43" s="24"/>
      <c r="E43" s="331"/>
      <c r="F43" s="610" t="s">
        <v>309</v>
      </c>
      <c r="G43" s="610"/>
      <c r="H43" s="610"/>
      <c r="I43" s="659">
        <f>C41-I41</f>
        <v>-11935.700000000004</v>
      </c>
      <c r="L43" s="150"/>
      <c r="M43" s="150"/>
      <c r="N43" s="150"/>
      <c r="O43" s="150"/>
      <c r="P43" s="150"/>
      <c r="Q43" s="401"/>
      <c r="R43" s="401"/>
      <c r="S43" s="495"/>
      <c r="T43" s="150"/>
      <c r="U43" s="150"/>
    </row>
    <row r="44" spans="1:19" ht="13.5" thickBot="1">
      <c r="A44" s="373"/>
      <c r="B44" s="374"/>
      <c r="C44" s="374"/>
      <c r="D44" s="686"/>
      <c r="E44" s="377"/>
      <c r="F44" s="374"/>
      <c r="G44" s="374"/>
      <c r="H44" s="374"/>
      <c r="I44" s="520"/>
      <c r="Q44" s="393"/>
      <c r="R44" s="393"/>
      <c r="S44" s="490"/>
    </row>
    <row r="45" spans="1:19" ht="14.25" thickTop="1">
      <c r="A45" s="49"/>
      <c r="B45" s="20"/>
      <c r="C45" s="20"/>
      <c r="D45" s="20"/>
      <c r="E45" s="365"/>
      <c r="F45" s="24"/>
      <c r="G45" s="24"/>
      <c r="H45" s="24"/>
      <c r="I45" s="58"/>
      <c r="Q45" s="393"/>
      <c r="R45" s="393"/>
      <c r="S45" s="490"/>
    </row>
    <row r="46" spans="1:19" ht="15">
      <c r="A46" s="906" t="s">
        <v>200</v>
      </c>
      <c r="B46" s="907"/>
      <c r="C46" s="907"/>
      <c r="D46" s="907"/>
      <c r="E46" s="907"/>
      <c r="F46" s="907"/>
      <c r="G46" s="907"/>
      <c r="H46" s="907"/>
      <c r="I46" s="908"/>
      <c r="Q46" s="393"/>
      <c r="R46" s="393"/>
      <c r="S46" s="490"/>
    </row>
    <row r="47" spans="1:19" ht="13.5">
      <c r="A47" s="380"/>
      <c r="B47" s="381"/>
      <c r="C47" s="381"/>
      <c r="D47" s="381"/>
      <c r="E47" s="365"/>
      <c r="F47" s="24"/>
      <c r="G47" s="24"/>
      <c r="H47" s="24"/>
      <c r="I47" s="58"/>
      <c r="Q47" s="393"/>
      <c r="R47" s="393"/>
      <c r="S47" s="490"/>
    </row>
    <row r="48" spans="1:19" ht="12.75">
      <c r="A48" s="909" t="s">
        <v>201</v>
      </c>
      <c r="B48" s="910"/>
      <c r="C48" s="910"/>
      <c r="D48" s="910"/>
      <c r="E48" s="910"/>
      <c r="F48" s="910"/>
      <c r="G48" s="910"/>
      <c r="H48" s="910"/>
      <c r="I48" s="911"/>
      <c r="Q48" s="393"/>
      <c r="R48" s="393"/>
      <c r="S48" s="490"/>
    </row>
    <row r="49" spans="1:19" ht="14.25" thickBot="1">
      <c r="A49" s="382"/>
      <c r="B49" s="383"/>
      <c r="C49" s="383"/>
      <c r="D49" s="383"/>
      <c r="E49" s="385"/>
      <c r="F49" s="351"/>
      <c r="G49" s="351"/>
      <c r="H49" s="351"/>
      <c r="I49" s="386"/>
      <c r="Q49" s="393"/>
      <c r="R49" s="393"/>
      <c r="S49" s="490"/>
    </row>
    <row r="50" spans="5:19" ht="13.5">
      <c r="E50" s="387"/>
      <c r="Q50" s="393"/>
      <c r="R50" s="393"/>
      <c r="S50" s="490"/>
    </row>
    <row r="51" ht="12.75">
      <c r="S51" s="490"/>
    </row>
  </sheetData>
  <sheetProtection/>
  <mergeCells count="4">
    <mergeCell ref="A4:I4"/>
    <mergeCell ref="A27:I27"/>
    <mergeCell ref="A46:I46"/>
    <mergeCell ref="A48:I48"/>
  </mergeCells>
  <printOptions/>
  <pageMargins left="0.7" right="0.7" top="0.75" bottom="0.75" header="0.3" footer="0.3"/>
  <pageSetup fitToHeight="1" fitToWidth="1" horizontalDpi="360" verticalDpi="36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zoomScalePageLayoutView="0" workbookViewId="0" topLeftCell="A1">
      <selection activeCell="B1" sqref="B1:H377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10" max="10" width="22.421875" style="0" customWidth="1"/>
    <col min="11" max="12" width="16.00390625" style="150" customWidth="1"/>
    <col min="13" max="13" width="15.7109375" style="150" customWidth="1"/>
    <col min="14" max="14" width="9.140625" style="150" customWidth="1"/>
    <col min="15" max="15" width="18.421875" style="150" customWidth="1"/>
  </cols>
  <sheetData>
    <row r="1" spans="2:8" ht="21">
      <c r="B1" s="171" t="s">
        <v>361</v>
      </c>
      <c r="G1" s="150"/>
      <c r="H1" s="150" t="s">
        <v>360</v>
      </c>
    </row>
    <row r="2" spans="2:8" ht="17.25">
      <c r="B2" s="287">
        <f>'31 dec 2019'!C7</f>
        <v>43830</v>
      </c>
      <c r="G2" s="150"/>
      <c r="H2" s="150"/>
    </row>
    <row r="3" spans="7:8" ht="12.75">
      <c r="G3" s="150"/>
      <c r="H3" s="150"/>
    </row>
    <row r="4" spans="7:8" ht="13.5" thickBot="1">
      <c r="G4" s="150"/>
      <c r="H4" s="150"/>
    </row>
    <row r="5" spans="2:8" ht="13.5" thickBot="1">
      <c r="B5" s="416" t="s">
        <v>130</v>
      </c>
      <c r="C5" s="417"/>
      <c r="D5" s="418"/>
      <c r="G5" s="150"/>
      <c r="H5" s="150"/>
    </row>
    <row r="6" spans="1:8" ht="15">
      <c r="A6" s="108"/>
      <c r="B6" s="255" t="s">
        <v>1</v>
      </c>
      <c r="C6" s="426"/>
      <c r="D6" s="426"/>
      <c r="E6" s="222" t="s">
        <v>110</v>
      </c>
      <c r="F6" s="174" t="s">
        <v>129</v>
      </c>
      <c r="G6" s="150"/>
      <c r="H6" s="150"/>
    </row>
    <row r="7" spans="2:8" ht="15">
      <c r="B7" s="124"/>
      <c r="C7" s="117" t="s">
        <v>61</v>
      </c>
      <c r="D7" s="122"/>
      <c r="E7" s="122"/>
      <c r="F7" s="118">
        <f>'project 2016'!F9</f>
        <v>696.17</v>
      </c>
      <c r="G7" s="150"/>
      <c r="H7" s="150"/>
    </row>
    <row r="8" spans="2:8" ht="15">
      <c r="B8" s="180"/>
      <c r="C8" s="175" t="s">
        <v>80</v>
      </c>
      <c r="D8" s="176"/>
      <c r="E8" s="176"/>
      <c r="F8" s="181"/>
      <c r="G8" s="150"/>
      <c r="H8" s="150"/>
    </row>
    <row r="9" spans="2:8" ht="15">
      <c r="B9" s="180"/>
      <c r="C9" s="175" t="s">
        <v>63</v>
      </c>
      <c r="D9" s="176"/>
      <c r="E9" s="176"/>
      <c r="F9" s="181">
        <v>2.17</v>
      </c>
      <c r="G9" s="150"/>
      <c r="H9" s="150"/>
    </row>
    <row r="10" spans="2:8" ht="15">
      <c r="B10" s="180">
        <v>42612</v>
      </c>
      <c r="C10" s="175" t="s">
        <v>126</v>
      </c>
      <c r="D10" s="176"/>
      <c r="E10" s="176"/>
      <c r="F10" s="181">
        <f>-308.65</f>
        <v>-308.65</v>
      </c>
      <c r="G10" s="150"/>
      <c r="H10" s="150"/>
    </row>
    <row r="11" spans="2:8" ht="17.25">
      <c r="B11" s="428">
        <v>42735</v>
      </c>
      <c r="C11" s="263" t="s">
        <v>2</v>
      </c>
      <c r="D11" s="261"/>
      <c r="E11" s="189"/>
      <c r="F11" s="193">
        <f>'project 2016'!F13</f>
        <v>389.68999999999994</v>
      </c>
      <c r="G11" s="560"/>
      <c r="H11" s="224"/>
    </row>
    <row r="12" spans="2:8" ht="15">
      <c r="B12" s="452">
        <v>42736</v>
      </c>
      <c r="C12" s="451" t="s">
        <v>63</v>
      </c>
      <c r="D12" s="451"/>
      <c r="E12" s="451"/>
      <c r="F12" s="181">
        <v>1.13</v>
      </c>
      <c r="G12" s="122"/>
      <c r="H12" s="224" t="s">
        <v>329</v>
      </c>
    </row>
    <row r="13" spans="2:8" ht="15">
      <c r="B13" s="452" t="s">
        <v>176</v>
      </c>
      <c r="C13" s="451"/>
      <c r="D13" s="451"/>
      <c r="E13" s="451"/>
      <c r="F13" s="181"/>
      <c r="G13" s="150"/>
      <c r="H13" s="224"/>
    </row>
    <row r="14" spans="2:8" ht="15">
      <c r="B14" s="452">
        <v>42912</v>
      </c>
      <c r="C14" s="451" t="s">
        <v>256</v>
      </c>
      <c r="D14" s="451"/>
      <c r="E14" s="451"/>
      <c r="F14" s="181">
        <v>-48.2</v>
      </c>
      <c r="G14" s="122"/>
      <c r="H14" s="224" t="s">
        <v>325</v>
      </c>
    </row>
    <row r="15" spans="2:10" ht="15">
      <c r="B15" s="452">
        <v>43025</v>
      </c>
      <c r="C15" s="451" t="s">
        <v>275</v>
      </c>
      <c r="D15" s="451"/>
      <c r="E15" s="451"/>
      <c r="F15" s="181">
        <v>-110.1</v>
      </c>
      <c r="G15" s="122"/>
      <c r="H15" s="224" t="s">
        <v>325</v>
      </c>
      <c r="J15" s="481" t="s">
        <v>352</v>
      </c>
    </row>
    <row r="16" spans="2:8" ht="15">
      <c r="B16" s="452" t="s">
        <v>304</v>
      </c>
      <c r="C16" s="509"/>
      <c r="D16" s="451"/>
      <c r="E16" s="451"/>
      <c r="F16" s="181">
        <f>SUM(F14:F15)</f>
        <v>-158.3</v>
      </c>
      <c r="G16" s="150"/>
      <c r="H16" s="224"/>
    </row>
    <row r="17" spans="2:7" ht="15">
      <c r="B17" s="570">
        <v>43100</v>
      </c>
      <c r="C17" s="571" t="s">
        <v>84</v>
      </c>
      <c r="D17" s="571"/>
      <c r="E17" s="571"/>
      <c r="F17" s="118">
        <f>F11+F12+F16</f>
        <v>232.51999999999992</v>
      </c>
      <c r="G17" s="560"/>
    </row>
    <row r="18" spans="2:8" ht="15">
      <c r="B18" s="427"/>
      <c r="C18" s="471" t="s">
        <v>362</v>
      </c>
      <c r="D18" s="471"/>
      <c r="E18" s="471"/>
      <c r="F18" s="193"/>
      <c r="G18" s="560"/>
      <c r="H18" s="150"/>
    </row>
    <row r="19" spans="2:8" ht="15">
      <c r="B19" s="427">
        <v>43442</v>
      </c>
      <c r="C19" s="471" t="s">
        <v>402</v>
      </c>
      <c r="D19" s="471"/>
      <c r="E19" s="471"/>
      <c r="F19" s="193">
        <f>-232.6</f>
        <v>-232.6</v>
      </c>
      <c r="G19" s="560"/>
      <c r="H19" s="150"/>
    </row>
    <row r="20" spans="2:8" ht="15">
      <c r="B20" s="427"/>
      <c r="C20" s="471"/>
      <c r="D20" s="471"/>
      <c r="E20" s="471"/>
      <c r="F20" s="193"/>
      <c r="G20" s="560"/>
      <c r="H20" s="150"/>
    </row>
    <row r="21" spans="2:8" ht="15">
      <c r="B21" s="427"/>
      <c r="C21" s="471" t="s">
        <v>364</v>
      </c>
      <c r="D21" s="471"/>
      <c r="E21" s="471"/>
      <c r="F21" s="193">
        <f>SUM(F18:F20)</f>
        <v>-232.6</v>
      </c>
      <c r="G21" s="560"/>
      <c r="H21" s="150"/>
    </row>
    <row r="22" spans="2:8" ht="15">
      <c r="B22" s="427"/>
      <c r="C22" s="471" t="s">
        <v>363</v>
      </c>
      <c r="D22" s="471"/>
      <c r="E22" s="471"/>
      <c r="F22" s="193"/>
      <c r="G22" s="560"/>
      <c r="H22" s="150"/>
    </row>
    <row r="23" spans="2:8" ht="15">
      <c r="B23" s="427">
        <v>43101</v>
      </c>
      <c r="C23" s="471" t="s">
        <v>59</v>
      </c>
      <c r="D23" s="471"/>
      <c r="E23" s="471"/>
      <c r="F23" s="193">
        <v>0.08</v>
      </c>
      <c r="G23" s="560"/>
      <c r="H23" s="224" t="s">
        <v>376</v>
      </c>
    </row>
    <row r="24" spans="2:8" ht="15">
      <c r="B24" s="427"/>
      <c r="C24" s="471"/>
      <c r="D24" s="471"/>
      <c r="E24" s="471"/>
      <c r="F24" s="193"/>
      <c r="G24" s="560"/>
      <c r="H24" s="150"/>
    </row>
    <row r="25" spans="2:8" ht="15">
      <c r="B25" s="427"/>
      <c r="C25" s="471" t="s">
        <v>365</v>
      </c>
      <c r="D25" s="471"/>
      <c r="E25" s="471"/>
      <c r="F25" s="193">
        <f>SUM(F22:F24)</f>
        <v>0.08</v>
      </c>
      <c r="G25" s="560"/>
      <c r="H25" s="150"/>
    </row>
    <row r="26" spans="2:11" ht="15">
      <c r="B26" s="570">
        <f>B2</f>
        <v>43830</v>
      </c>
      <c r="C26" s="571" t="s">
        <v>2</v>
      </c>
      <c r="D26" s="571"/>
      <c r="E26" s="571"/>
      <c r="F26" s="118">
        <f>F17+F21+F25</f>
        <v>-6.934730567564884E-14</v>
      </c>
      <c r="G26" s="560"/>
      <c r="H26" s="261" t="s">
        <v>393</v>
      </c>
      <c r="I26" s="567"/>
      <c r="J26" s="567"/>
      <c r="K26" s="189"/>
    </row>
    <row r="27" spans="2:8" ht="15.75" thickBot="1">
      <c r="B27" s="182"/>
      <c r="C27" s="164"/>
      <c r="D27" s="183"/>
      <c r="E27" s="183"/>
      <c r="F27" s="184"/>
      <c r="G27" s="150"/>
      <c r="H27" s="150"/>
    </row>
    <row r="28" spans="2:8" ht="12.75">
      <c r="B28" s="24"/>
      <c r="C28" s="24"/>
      <c r="D28" s="24"/>
      <c r="E28" s="24"/>
      <c r="F28" s="24"/>
      <c r="G28" s="150"/>
      <c r="H28" s="150"/>
    </row>
    <row r="29" spans="2:8" ht="13.5" thickBot="1">
      <c r="B29" s="24"/>
      <c r="C29" s="24"/>
      <c r="D29" s="24"/>
      <c r="E29" s="24"/>
      <c r="F29" s="24"/>
      <c r="G29" s="150"/>
      <c r="H29" s="150"/>
    </row>
    <row r="30" spans="1:8" ht="15">
      <c r="A30" s="108"/>
      <c r="B30" s="429" t="s">
        <v>108</v>
      </c>
      <c r="C30" s="177"/>
      <c r="D30" s="178"/>
      <c r="E30" s="222" t="s">
        <v>109</v>
      </c>
      <c r="F30" s="179"/>
      <c r="G30" s="150"/>
      <c r="H30" s="150"/>
    </row>
    <row r="31" spans="2:8" ht="15">
      <c r="B31" s="124"/>
      <c r="C31" s="117" t="s">
        <v>61</v>
      </c>
      <c r="D31" s="123"/>
      <c r="E31" s="123"/>
      <c r="F31" s="125">
        <f>'project 2016'!F23</f>
        <v>598.1699999999998</v>
      </c>
      <c r="G31" s="150"/>
      <c r="H31" s="150"/>
    </row>
    <row r="32" spans="2:8" ht="15">
      <c r="B32" s="139"/>
      <c r="C32" s="140" t="s">
        <v>81</v>
      </c>
      <c r="D32" s="141"/>
      <c r="E32" s="141"/>
      <c r="F32" s="142">
        <v>0</v>
      </c>
      <c r="G32" s="150"/>
      <c r="H32" s="150"/>
    </row>
    <row r="33" spans="2:8" ht="17.25">
      <c r="B33" s="428">
        <f>B11</f>
        <v>42735</v>
      </c>
      <c r="C33" s="263" t="str">
        <f>C11</f>
        <v>Saldo</v>
      </c>
      <c r="D33" s="189"/>
      <c r="E33" s="189"/>
      <c r="F33" s="193">
        <f>'project 2016'!F23</f>
        <v>598.1699999999998</v>
      </c>
      <c r="G33" s="561"/>
      <c r="H33" s="150"/>
    </row>
    <row r="34" spans="2:8" ht="15.75" thickBot="1">
      <c r="B34" s="143"/>
      <c r="C34" s="144"/>
      <c r="D34" s="145"/>
      <c r="E34" s="145"/>
      <c r="F34" s="146"/>
      <c r="G34" s="150"/>
      <c r="H34" s="150"/>
    </row>
    <row r="35" spans="2:8" ht="17.25">
      <c r="B35" s="428"/>
      <c r="C35" s="263" t="s">
        <v>296</v>
      </c>
      <c r="D35" s="189"/>
      <c r="E35" s="189"/>
      <c r="F35" s="193"/>
      <c r="G35" s="150"/>
      <c r="H35" s="150"/>
    </row>
    <row r="36" spans="2:8" ht="15">
      <c r="B36" s="570">
        <v>43100</v>
      </c>
      <c r="C36" s="571" t="s">
        <v>84</v>
      </c>
      <c r="D36" s="571"/>
      <c r="E36" s="571"/>
      <c r="F36" s="118">
        <f>F33</f>
        <v>598.1699999999998</v>
      </c>
      <c r="G36" s="560"/>
      <c r="H36" s="150"/>
    </row>
    <row r="37" spans="2:8" ht="15">
      <c r="B37" s="427"/>
      <c r="C37" s="471" t="s">
        <v>362</v>
      </c>
      <c r="D37" s="471"/>
      <c r="E37" s="471"/>
      <c r="F37" s="193"/>
      <c r="G37" s="560"/>
      <c r="H37" s="150"/>
    </row>
    <row r="38" spans="2:8" ht="15">
      <c r="B38" s="427">
        <v>43442</v>
      </c>
      <c r="C38" s="471" t="s">
        <v>403</v>
      </c>
      <c r="D38" s="471"/>
      <c r="E38" s="471"/>
      <c r="F38" s="193">
        <f>-598.17</f>
        <v>-598.17</v>
      </c>
      <c r="G38" s="560"/>
      <c r="H38" s="150"/>
    </row>
    <row r="39" spans="2:8" ht="15">
      <c r="B39" s="427"/>
      <c r="C39" s="471"/>
      <c r="D39" s="471"/>
      <c r="E39" s="471"/>
      <c r="F39" s="193"/>
      <c r="G39" s="560"/>
      <c r="H39" s="150"/>
    </row>
    <row r="40" spans="2:8" ht="15">
      <c r="B40" s="427"/>
      <c r="C40" s="471" t="s">
        <v>364</v>
      </c>
      <c r="D40" s="471"/>
      <c r="E40" s="471"/>
      <c r="F40" s="193">
        <f>SUM(F37:F39)</f>
        <v>-598.17</v>
      </c>
      <c r="G40" s="560"/>
      <c r="H40" s="150"/>
    </row>
    <row r="41" spans="2:8" ht="15">
      <c r="B41" s="427"/>
      <c r="C41" s="471" t="s">
        <v>363</v>
      </c>
      <c r="D41" s="471"/>
      <c r="E41" s="471"/>
      <c r="F41" s="193"/>
      <c r="G41" s="560"/>
      <c r="H41" s="150"/>
    </row>
    <row r="42" spans="2:8" ht="15">
      <c r="B42" s="427"/>
      <c r="C42" s="471"/>
      <c r="D42" s="471"/>
      <c r="E42" s="471"/>
      <c r="F42" s="193"/>
      <c r="G42" s="560"/>
      <c r="H42" s="150"/>
    </row>
    <row r="43" spans="2:8" ht="15">
      <c r="B43" s="427"/>
      <c r="C43" s="471"/>
      <c r="D43" s="471"/>
      <c r="E43" s="471"/>
      <c r="F43" s="193"/>
      <c r="G43" s="560"/>
      <c r="H43" s="150"/>
    </row>
    <row r="44" spans="2:8" ht="15">
      <c r="B44" s="427"/>
      <c r="C44" s="471" t="s">
        <v>365</v>
      </c>
      <c r="D44" s="471"/>
      <c r="E44" s="471"/>
      <c r="F44" s="193">
        <f>SUM(F41:F43)</f>
        <v>0</v>
      </c>
      <c r="G44" s="560"/>
      <c r="H44" s="150"/>
    </row>
    <row r="45" spans="2:11" ht="15">
      <c r="B45" s="570">
        <f>B2</f>
        <v>43830</v>
      </c>
      <c r="C45" s="571" t="s">
        <v>2</v>
      </c>
      <c r="D45" s="571"/>
      <c r="E45" s="571"/>
      <c r="F45" s="118">
        <f>F36+F40+F44</f>
        <v>-1.1368683772161603E-13</v>
      </c>
      <c r="G45" s="560"/>
      <c r="H45" s="261" t="s">
        <v>393</v>
      </c>
      <c r="I45" s="567"/>
      <c r="J45" s="567"/>
      <c r="K45" s="189"/>
    </row>
    <row r="46" spans="2:8" ht="15.75" thickBot="1">
      <c r="B46" s="182"/>
      <c r="C46" s="164"/>
      <c r="D46" s="183"/>
      <c r="E46" s="183"/>
      <c r="F46" s="184"/>
      <c r="G46" s="560"/>
      <c r="H46" s="150"/>
    </row>
    <row r="47" spans="2:8" ht="15">
      <c r="B47" s="422"/>
      <c r="C47" s="149"/>
      <c r="D47" s="150"/>
      <c r="E47" s="150"/>
      <c r="F47" s="423"/>
      <c r="G47" s="150"/>
      <c r="H47" s="150"/>
    </row>
    <row r="48" spans="1:10" ht="20.25" customHeight="1" thickBot="1">
      <c r="A48" s="24"/>
      <c r="B48" s="422"/>
      <c r="C48" s="149"/>
      <c r="D48" s="150"/>
      <c r="E48" s="150"/>
      <c r="F48" s="423"/>
      <c r="G48" s="150"/>
      <c r="H48" s="150"/>
      <c r="J48">
        <v>0</v>
      </c>
    </row>
    <row r="49" spans="1:10" ht="15">
      <c r="A49" s="108"/>
      <c r="B49" s="255" t="s">
        <v>0</v>
      </c>
      <c r="C49" s="426"/>
      <c r="D49" s="426"/>
      <c r="E49" s="221" t="s">
        <v>111</v>
      </c>
      <c r="F49" s="174"/>
      <c r="G49" s="150"/>
      <c r="H49" s="150"/>
      <c r="J49">
        <v>31.440000000000012</v>
      </c>
    </row>
    <row r="50" spans="2:10" ht="15">
      <c r="B50" s="127"/>
      <c r="C50" s="117" t="s">
        <v>61</v>
      </c>
      <c r="D50" s="117"/>
      <c r="E50" s="117"/>
      <c r="F50" s="118">
        <f>'project 2016'!F31</f>
        <v>408.81000000000023</v>
      </c>
      <c r="G50" s="150"/>
      <c r="H50" s="150"/>
      <c r="J50">
        <v>7537.839999999998</v>
      </c>
    </row>
    <row r="51" spans="2:10" ht="15">
      <c r="B51" s="139"/>
      <c r="C51" s="140" t="s">
        <v>81</v>
      </c>
      <c r="D51" s="141"/>
      <c r="E51" s="141"/>
      <c r="F51" s="142"/>
      <c r="G51" s="150"/>
      <c r="H51" s="150"/>
      <c r="J51">
        <v>0</v>
      </c>
    </row>
    <row r="52" spans="2:10" ht="15">
      <c r="B52" s="139">
        <v>42696</v>
      </c>
      <c r="C52" s="140" t="s">
        <v>144</v>
      </c>
      <c r="D52" s="141"/>
      <c r="E52" s="141"/>
      <c r="F52" s="142">
        <v>-293.68</v>
      </c>
      <c r="G52" s="150"/>
      <c r="H52" s="150"/>
      <c r="J52">
        <v>48.66</v>
      </c>
    </row>
    <row r="53" spans="2:10" ht="15">
      <c r="B53" s="139">
        <v>42697</v>
      </c>
      <c r="C53" s="140" t="s">
        <v>145</v>
      </c>
      <c r="D53" s="141"/>
      <c r="E53" s="141"/>
      <c r="F53" s="142">
        <v>-114.5</v>
      </c>
      <c r="G53" s="150"/>
      <c r="H53" s="150"/>
      <c r="J53">
        <v>0</v>
      </c>
    </row>
    <row r="54" spans="2:8" ht="17.25">
      <c r="B54" s="428">
        <f>B33</f>
        <v>42735</v>
      </c>
      <c r="C54" s="263" t="str">
        <f>C33</f>
        <v>Saldo</v>
      </c>
      <c r="D54" s="189"/>
      <c r="E54" s="189"/>
      <c r="F54" s="193">
        <f>'project 2016'!F35</f>
        <v>0.6300000000002228</v>
      </c>
      <c r="G54" s="224"/>
      <c r="H54" s="150"/>
    </row>
    <row r="55" spans="2:10" ht="17.25">
      <c r="B55" s="428">
        <v>42787</v>
      </c>
      <c r="C55" s="263" t="s">
        <v>234</v>
      </c>
      <c r="D55" s="189"/>
      <c r="E55" s="189"/>
      <c r="F55" s="193">
        <f>-0.63</f>
        <v>-0.63</v>
      </c>
      <c r="G55" s="123"/>
      <c r="H55" s="150" t="s">
        <v>337</v>
      </c>
      <c r="J55">
        <v>926</v>
      </c>
    </row>
    <row r="56" spans="2:8" ht="17.25">
      <c r="B56" s="428">
        <v>42787</v>
      </c>
      <c r="C56" s="263" t="s">
        <v>235</v>
      </c>
      <c r="D56" s="189"/>
      <c r="E56" s="189"/>
      <c r="F56" s="193">
        <f>F54+F55</f>
        <v>2.2282176104226892E-13</v>
      </c>
      <c r="G56" s="194"/>
      <c r="H56" s="150"/>
    </row>
    <row r="57" spans="2:8" ht="15.75" thickBot="1">
      <c r="B57" s="143"/>
      <c r="C57" s="144"/>
      <c r="D57" s="145"/>
      <c r="E57" s="145"/>
      <c r="F57" s="146"/>
      <c r="G57" s="150"/>
      <c r="H57" s="150"/>
    </row>
    <row r="58" spans="2:8" ht="15">
      <c r="B58" s="84"/>
      <c r="C58" s="23"/>
      <c r="D58" s="23"/>
      <c r="E58" s="23"/>
      <c r="F58" s="23"/>
      <c r="G58" s="150"/>
      <c r="H58" s="150"/>
    </row>
    <row r="59" spans="2:8" ht="15" thickBot="1">
      <c r="B59" s="84"/>
      <c r="C59" s="29"/>
      <c r="D59" s="29"/>
      <c r="E59" s="29"/>
      <c r="F59" s="82"/>
      <c r="G59" s="150"/>
      <c r="H59" s="150"/>
    </row>
    <row r="60" spans="1:8" ht="15">
      <c r="A60" s="108"/>
      <c r="B60" s="432" t="s">
        <v>39</v>
      </c>
      <c r="C60" s="177"/>
      <c r="D60" s="177"/>
      <c r="E60" s="222" t="s">
        <v>112</v>
      </c>
      <c r="F60" s="433"/>
      <c r="G60" s="150"/>
      <c r="H60" s="150"/>
    </row>
    <row r="61" spans="2:8" ht="15">
      <c r="B61" s="172"/>
      <c r="C61" s="117" t="s">
        <v>60</v>
      </c>
      <c r="D61" s="117"/>
      <c r="E61" s="117"/>
      <c r="F61" s="173">
        <f>'project 2016'!F50</f>
        <v>218.9500000000001</v>
      </c>
      <c r="G61" s="150"/>
      <c r="H61" s="150"/>
    </row>
    <row r="62" spans="2:8" ht="15">
      <c r="B62" s="434" t="s">
        <v>81</v>
      </c>
      <c r="C62" s="175"/>
      <c r="D62" s="175"/>
      <c r="E62" s="175"/>
      <c r="F62" s="196"/>
      <c r="G62" s="150"/>
      <c r="H62" s="150"/>
    </row>
    <row r="63" spans="2:8" ht="15">
      <c r="B63" s="434"/>
      <c r="C63" s="175" t="s">
        <v>59</v>
      </c>
      <c r="D63" s="175"/>
      <c r="E63" s="175"/>
      <c r="F63" s="196">
        <f>'fin overz 31 dec 2016'!J19</f>
        <v>7.78</v>
      </c>
      <c r="G63" s="150"/>
      <c r="H63" s="150"/>
    </row>
    <row r="64" spans="2:8" ht="15">
      <c r="B64" s="156">
        <v>42376</v>
      </c>
      <c r="C64" s="234" t="s">
        <v>67</v>
      </c>
      <c r="D64" s="157"/>
      <c r="E64" s="157"/>
      <c r="F64" s="158">
        <v>-10.35</v>
      </c>
      <c r="G64" s="150"/>
      <c r="H64" s="150"/>
    </row>
    <row r="65" spans="2:8" ht="15">
      <c r="B65" s="156">
        <v>42403</v>
      </c>
      <c r="C65" s="157" t="s">
        <v>67</v>
      </c>
      <c r="D65" s="157"/>
      <c r="E65" s="157"/>
      <c r="F65" s="158">
        <v>-10.65</v>
      </c>
      <c r="G65" s="150"/>
      <c r="H65" s="150"/>
    </row>
    <row r="66" spans="2:8" ht="15">
      <c r="B66" s="156">
        <v>42432</v>
      </c>
      <c r="C66" s="157" t="s">
        <v>67</v>
      </c>
      <c r="D66" s="157"/>
      <c r="E66" s="157"/>
      <c r="F66" s="158">
        <v>-10.65</v>
      </c>
      <c r="G66" s="150"/>
      <c r="H66" s="150"/>
    </row>
    <row r="67" spans="2:8" ht="15">
      <c r="B67" s="156"/>
      <c r="C67" s="234" t="s">
        <v>59</v>
      </c>
      <c r="D67" s="157"/>
      <c r="E67" s="157"/>
      <c r="F67" s="158"/>
      <c r="G67" s="150"/>
      <c r="H67" s="150"/>
    </row>
    <row r="68" spans="2:8" ht="15">
      <c r="B68" s="156">
        <v>42465</v>
      </c>
      <c r="C68" s="157" t="s">
        <v>67</v>
      </c>
      <c r="D68" s="157"/>
      <c r="E68" s="157"/>
      <c r="F68" s="158">
        <v>-10.65</v>
      </c>
      <c r="G68" s="150"/>
      <c r="H68" s="150"/>
    </row>
    <row r="69" spans="2:8" ht="15">
      <c r="B69" s="156">
        <v>42494</v>
      </c>
      <c r="C69" s="157" t="s">
        <v>67</v>
      </c>
      <c r="D69" s="157"/>
      <c r="E69" s="157"/>
      <c r="F69" s="158">
        <v>-10.65</v>
      </c>
      <c r="G69" s="150"/>
      <c r="H69" s="150"/>
    </row>
    <row r="70" spans="2:8" ht="15">
      <c r="B70" s="156">
        <v>42524</v>
      </c>
      <c r="C70" s="157" t="s">
        <v>67</v>
      </c>
      <c r="D70" s="157"/>
      <c r="E70" s="157"/>
      <c r="F70" s="158">
        <v>-10.65</v>
      </c>
      <c r="G70" s="150"/>
      <c r="H70" s="150"/>
    </row>
    <row r="71" spans="2:8" ht="15">
      <c r="B71" s="156">
        <v>42556</v>
      </c>
      <c r="C71" s="157" t="s">
        <v>67</v>
      </c>
      <c r="D71" s="157"/>
      <c r="E71" s="157"/>
      <c r="F71" s="158">
        <v>-10.65</v>
      </c>
      <c r="G71" s="150"/>
      <c r="H71" s="150"/>
    </row>
    <row r="72" spans="2:8" ht="15">
      <c r="B72" s="156">
        <v>42585</v>
      </c>
      <c r="C72" s="157" t="s">
        <v>67</v>
      </c>
      <c r="D72" s="157"/>
      <c r="E72" s="157"/>
      <c r="F72" s="158">
        <v>-10.65</v>
      </c>
      <c r="G72" s="150"/>
      <c r="H72" s="150"/>
    </row>
    <row r="73" spans="2:8" ht="15">
      <c r="B73" s="233">
        <v>42616</v>
      </c>
      <c r="C73" s="234" t="s">
        <v>67</v>
      </c>
      <c r="D73" s="157"/>
      <c r="E73" s="157"/>
      <c r="F73" s="158">
        <v>-10.65</v>
      </c>
      <c r="G73" s="150"/>
      <c r="H73" s="150"/>
    </row>
    <row r="74" spans="2:8" ht="15">
      <c r="B74" s="233">
        <v>42648</v>
      </c>
      <c r="C74" s="234" t="s">
        <v>67</v>
      </c>
      <c r="D74" s="157"/>
      <c r="E74" s="157"/>
      <c r="F74" s="158">
        <v>-11.21</v>
      </c>
      <c r="G74" s="150"/>
      <c r="H74" s="150"/>
    </row>
    <row r="75" spans="2:8" ht="15">
      <c r="B75" s="233">
        <v>42678</v>
      </c>
      <c r="C75" s="234" t="s">
        <v>67</v>
      </c>
      <c r="D75" s="157"/>
      <c r="E75" s="157"/>
      <c r="F75" s="158">
        <v>-10.09</v>
      </c>
      <c r="G75" s="150"/>
      <c r="H75" s="150"/>
    </row>
    <row r="76" spans="2:8" ht="15">
      <c r="B76" s="233">
        <v>42707</v>
      </c>
      <c r="C76" s="234" t="s">
        <v>67</v>
      </c>
      <c r="D76" s="157"/>
      <c r="E76" s="157"/>
      <c r="F76" s="158">
        <v>-10.65</v>
      </c>
      <c r="G76" s="150"/>
      <c r="H76" s="150"/>
    </row>
    <row r="77" spans="2:8" ht="15">
      <c r="B77" s="156"/>
      <c r="C77" s="234" t="s">
        <v>139</v>
      </c>
      <c r="D77" s="157"/>
      <c r="E77" s="157"/>
      <c r="F77" s="158">
        <f>SUM(F64:F76)</f>
        <v>-127.50000000000003</v>
      </c>
      <c r="G77" s="150"/>
      <c r="H77" s="235"/>
    </row>
    <row r="78" spans="2:8" ht="15">
      <c r="B78" s="172">
        <f>B54</f>
        <v>42735</v>
      </c>
      <c r="C78" s="130" t="str">
        <f>C54</f>
        <v>Saldo</v>
      </c>
      <c r="D78" s="117"/>
      <c r="E78" s="117"/>
      <c r="F78" s="173">
        <f>'project 2016'!F67</f>
        <v>99.23000000000008</v>
      </c>
      <c r="G78" s="150"/>
      <c r="H78" s="150"/>
    </row>
    <row r="79" spans="2:8" ht="15">
      <c r="B79" s="434" t="s">
        <v>100</v>
      </c>
      <c r="C79" s="424"/>
      <c r="D79" s="175"/>
      <c r="E79" s="175"/>
      <c r="F79" s="196"/>
      <c r="G79" s="150"/>
      <c r="H79" s="150"/>
    </row>
    <row r="80" spans="2:8" ht="15">
      <c r="B80" s="434">
        <v>42787</v>
      </c>
      <c r="C80" s="424" t="s">
        <v>232</v>
      </c>
      <c r="D80" s="175"/>
      <c r="E80" s="175"/>
      <c r="F80" s="196">
        <f>-F132</f>
        <v>200</v>
      </c>
      <c r="G80" s="150"/>
      <c r="H80" s="150" t="s">
        <v>335</v>
      </c>
    </row>
    <row r="81" spans="2:8" ht="15">
      <c r="B81" s="434">
        <v>42787</v>
      </c>
      <c r="C81" s="424" t="s">
        <v>236</v>
      </c>
      <c r="D81" s="175"/>
      <c r="E81" s="175"/>
      <c r="F81" s="196">
        <f>-F55</f>
        <v>0.63</v>
      </c>
      <c r="G81" s="150"/>
      <c r="H81" s="150" t="s">
        <v>335</v>
      </c>
    </row>
    <row r="82" spans="2:8" ht="15">
      <c r="B82" s="434">
        <v>42787</v>
      </c>
      <c r="C82" s="424" t="s">
        <v>237</v>
      </c>
      <c r="D82" s="175"/>
      <c r="E82" s="175"/>
      <c r="F82" s="196">
        <f>F193</f>
        <v>13.29</v>
      </c>
      <c r="G82" s="150"/>
      <c r="H82" s="150" t="s">
        <v>338</v>
      </c>
    </row>
    <row r="83" spans="2:8" ht="15">
      <c r="B83" s="437" t="s">
        <v>242</v>
      </c>
      <c r="C83" s="263"/>
      <c r="D83" s="191"/>
      <c r="E83" s="191"/>
      <c r="F83" s="240">
        <f>SUM(F80:F82)</f>
        <v>213.92</v>
      </c>
      <c r="G83" s="150"/>
      <c r="H83" s="150"/>
    </row>
    <row r="84" spans="2:8" ht="15">
      <c r="B84" s="434" t="s">
        <v>176</v>
      </c>
      <c r="C84" s="424"/>
      <c r="D84" s="175"/>
      <c r="E84" s="175"/>
      <c r="F84" s="196"/>
      <c r="G84" s="150"/>
      <c r="H84" s="150"/>
    </row>
    <row r="85" spans="2:8" ht="15">
      <c r="B85" s="434">
        <v>42739</v>
      </c>
      <c r="C85" s="424" t="s">
        <v>67</v>
      </c>
      <c r="D85" s="175"/>
      <c r="E85" s="175"/>
      <c r="F85" s="196">
        <v>-10.65</v>
      </c>
      <c r="G85" s="122"/>
      <c r="H85" s="150" t="s">
        <v>330</v>
      </c>
    </row>
    <row r="86" spans="2:10" ht="15">
      <c r="B86" s="434">
        <v>43134</v>
      </c>
      <c r="C86" s="424" t="s">
        <v>67</v>
      </c>
      <c r="D86" s="175"/>
      <c r="E86" s="175"/>
      <c r="F86" s="196">
        <v>-10.9</v>
      </c>
      <c r="G86" s="122"/>
      <c r="H86" s="150" t="s">
        <v>330</v>
      </c>
      <c r="I86" s="566" t="s">
        <v>348</v>
      </c>
      <c r="J86" s="566"/>
    </row>
    <row r="87" spans="2:8" ht="15">
      <c r="B87" s="434">
        <v>42787</v>
      </c>
      <c r="C87" s="424" t="s">
        <v>241</v>
      </c>
      <c r="D87" s="175"/>
      <c r="E87" s="175"/>
      <c r="F87" s="196">
        <f>-F276</f>
        <v>-0.009999999999990905</v>
      </c>
      <c r="G87" s="122"/>
      <c r="H87" s="150" t="s">
        <v>335</v>
      </c>
    </row>
    <row r="88" spans="2:8" ht="15">
      <c r="B88" s="434">
        <v>42798</v>
      </c>
      <c r="C88" s="424" t="s">
        <v>67</v>
      </c>
      <c r="D88" s="175"/>
      <c r="E88" s="175"/>
      <c r="F88" s="196">
        <v>-17.8</v>
      </c>
      <c r="G88" s="122"/>
      <c r="H88" s="150" t="s">
        <v>330</v>
      </c>
    </row>
    <row r="89" spans="2:8" ht="15">
      <c r="B89" s="434">
        <v>42829</v>
      </c>
      <c r="C89" s="424" t="s">
        <v>67</v>
      </c>
      <c r="D89" s="175"/>
      <c r="E89" s="175"/>
      <c r="F89" s="196">
        <v>-4</v>
      </c>
      <c r="G89" s="122"/>
      <c r="H89" s="150" t="s">
        <v>330</v>
      </c>
    </row>
    <row r="90" spans="2:8" ht="15">
      <c r="B90" s="434">
        <v>42859</v>
      </c>
      <c r="C90" s="424" t="s">
        <v>67</v>
      </c>
      <c r="D90" s="175"/>
      <c r="E90" s="175"/>
      <c r="F90" s="196">
        <v>-10.9</v>
      </c>
      <c r="G90" s="122"/>
      <c r="H90" s="150" t="s">
        <v>330</v>
      </c>
    </row>
    <row r="91" spans="2:8" ht="15">
      <c r="B91" s="434">
        <v>42874</v>
      </c>
      <c r="C91" s="424" t="s">
        <v>252</v>
      </c>
      <c r="D91" s="175"/>
      <c r="E91" s="175"/>
      <c r="F91" s="196">
        <v>-25.9</v>
      </c>
      <c r="G91" s="122"/>
      <c r="H91" s="220" t="s">
        <v>341</v>
      </c>
    </row>
    <row r="92" spans="2:8" ht="15">
      <c r="B92" s="434">
        <v>42890</v>
      </c>
      <c r="C92" s="424" t="s">
        <v>67</v>
      </c>
      <c r="D92" s="175"/>
      <c r="E92" s="175"/>
      <c r="F92" s="196">
        <v>-11.38</v>
      </c>
      <c r="G92" s="122"/>
      <c r="H92" s="150" t="s">
        <v>330</v>
      </c>
    </row>
    <row r="93" spans="2:8" ht="15">
      <c r="B93" s="434">
        <v>42922</v>
      </c>
      <c r="C93" s="424" t="s">
        <v>67</v>
      </c>
      <c r="D93" s="175"/>
      <c r="E93" s="175"/>
      <c r="F93" s="196">
        <v>-10.42</v>
      </c>
      <c r="G93" s="122"/>
      <c r="H93" s="150" t="s">
        <v>330</v>
      </c>
    </row>
    <row r="94" spans="2:8" ht="15">
      <c r="B94" s="434">
        <v>42951</v>
      </c>
      <c r="C94" s="424" t="s">
        <v>67</v>
      </c>
      <c r="D94" s="175"/>
      <c r="E94" s="175"/>
      <c r="F94" s="196">
        <v>-10.9</v>
      </c>
      <c r="G94" s="122"/>
      <c r="H94" s="150" t="s">
        <v>330</v>
      </c>
    </row>
    <row r="95" spans="2:8" ht="15">
      <c r="B95" s="434">
        <v>42970</v>
      </c>
      <c r="C95" s="424" t="s">
        <v>257</v>
      </c>
      <c r="D95" s="175"/>
      <c r="E95" s="175"/>
      <c r="F95" s="196">
        <v>-23.37</v>
      </c>
      <c r="G95" s="122"/>
      <c r="H95" s="150" t="s">
        <v>330</v>
      </c>
    </row>
    <row r="96" spans="2:8" ht="15">
      <c r="B96" s="434">
        <v>42983</v>
      </c>
      <c r="C96" s="424" t="s">
        <v>67</v>
      </c>
      <c r="D96" s="175"/>
      <c r="E96" s="175"/>
      <c r="F96" s="196">
        <v>-10.9</v>
      </c>
      <c r="G96" s="122"/>
      <c r="H96" s="150" t="s">
        <v>330</v>
      </c>
    </row>
    <row r="97" spans="2:8" ht="15">
      <c r="B97" s="434">
        <v>43013</v>
      </c>
      <c r="C97" s="424" t="s">
        <v>67</v>
      </c>
      <c r="D97" s="175"/>
      <c r="E97" s="175"/>
      <c r="F97" s="196">
        <v>-10.9</v>
      </c>
      <c r="G97" s="122"/>
      <c r="H97" s="150" t="s">
        <v>330</v>
      </c>
    </row>
    <row r="98" spans="2:8" ht="15">
      <c r="B98" s="434">
        <v>43042</v>
      </c>
      <c r="C98" s="424" t="s">
        <v>67</v>
      </c>
      <c r="D98" s="175"/>
      <c r="E98" s="175"/>
      <c r="F98" s="196">
        <v>-10.9</v>
      </c>
      <c r="G98" s="122"/>
      <c r="H98" s="150" t="s">
        <v>330</v>
      </c>
    </row>
    <row r="99" spans="2:8" ht="15">
      <c r="B99" s="434">
        <v>43073</v>
      </c>
      <c r="C99" s="424" t="s">
        <v>67</v>
      </c>
      <c r="D99" s="175"/>
      <c r="E99" s="175"/>
      <c r="F99" s="196">
        <v>-10.9</v>
      </c>
      <c r="G99" s="122"/>
      <c r="H99" s="150" t="s">
        <v>330</v>
      </c>
    </row>
    <row r="100" spans="2:8" ht="15">
      <c r="B100" s="434"/>
      <c r="C100" s="424"/>
      <c r="D100" s="175"/>
      <c r="E100" s="175"/>
      <c r="F100" s="196"/>
      <c r="G100" s="150"/>
      <c r="H100" s="150"/>
    </row>
    <row r="101" spans="2:8" ht="15">
      <c r="B101" s="437" t="s">
        <v>139</v>
      </c>
      <c r="C101" s="263"/>
      <c r="D101" s="191"/>
      <c r="E101" s="191"/>
      <c r="F101" s="240">
        <f>SUM(F85:F100)</f>
        <v>-179.83</v>
      </c>
      <c r="G101" s="150"/>
      <c r="H101" s="150"/>
    </row>
    <row r="102" spans="2:8" ht="15">
      <c r="B102" s="472"/>
      <c r="C102" s="473"/>
      <c r="D102" s="149"/>
      <c r="E102" s="149"/>
      <c r="F102" s="474"/>
      <c r="G102" s="150"/>
      <c r="H102" s="150"/>
    </row>
    <row r="103" spans="2:8" ht="15.75" thickBot="1">
      <c r="B103" s="111">
        <v>43100</v>
      </c>
      <c r="C103" s="105" t="s">
        <v>2</v>
      </c>
      <c r="D103" s="105"/>
      <c r="E103" s="572"/>
      <c r="F103" s="112">
        <f>F78+F83+F101</f>
        <v>133.32000000000008</v>
      </c>
      <c r="G103" s="150"/>
      <c r="H103" s="560"/>
    </row>
    <row r="104" spans="2:8" ht="15">
      <c r="B104" s="427"/>
      <c r="C104" s="471" t="s">
        <v>362</v>
      </c>
      <c r="D104" s="471"/>
      <c r="E104" s="471"/>
      <c r="F104" s="193"/>
      <c r="G104" s="150"/>
      <c r="H104" s="560"/>
    </row>
    <row r="105" spans="2:8" ht="15">
      <c r="B105" s="427">
        <v>43104</v>
      </c>
      <c r="C105" s="471" t="s">
        <v>67</v>
      </c>
      <c r="D105" s="471"/>
      <c r="E105" s="471"/>
      <c r="F105" s="193">
        <v>-10.9</v>
      </c>
      <c r="G105" s="150"/>
      <c r="H105" s="561" t="s">
        <v>376</v>
      </c>
    </row>
    <row r="106" spans="2:8" ht="15">
      <c r="B106" s="427">
        <v>43135</v>
      </c>
      <c r="C106" s="471" t="s">
        <v>67</v>
      </c>
      <c r="D106" s="471"/>
      <c r="E106" s="471"/>
      <c r="F106" s="193">
        <v>-9.95</v>
      </c>
      <c r="G106" s="150"/>
      <c r="H106" s="561" t="s">
        <v>376</v>
      </c>
    </row>
    <row r="107" spans="2:8" ht="15">
      <c r="B107" s="427">
        <v>43161</v>
      </c>
      <c r="C107" s="471" t="s">
        <v>67</v>
      </c>
      <c r="D107" s="471"/>
      <c r="E107" s="471"/>
      <c r="F107" s="193">
        <v>-9.95</v>
      </c>
      <c r="G107" s="150"/>
      <c r="H107" s="561" t="s">
        <v>376</v>
      </c>
    </row>
    <row r="108" spans="2:8" ht="15">
      <c r="B108" s="427">
        <v>43195</v>
      </c>
      <c r="C108" s="471" t="s">
        <v>67</v>
      </c>
      <c r="D108" s="471"/>
      <c r="E108" s="471"/>
      <c r="F108" s="193">
        <v>-9.95</v>
      </c>
      <c r="G108" s="150"/>
      <c r="H108" s="560" t="s">
        <v>380</v>
      </c>
    </row>
    <row r="109" spans="2:8" ht="15">
      <c r="B109" s="427">
        <v>43224</v>
      </c>
      <c r="C109" s="471" t="s">
        <v>67</v>
      </c>
      <c r="D109" s="471"/>
      <c r="E109" s="471"/>
      <c r="F109" s="193">
        <v>-9.94</v>
      </c>
      <c r="G109" s="150"/>
      <c r="H109" s="560" t="s">
        <v>376</v>
      </c>
    </row>
    <row r="110" spans="2:8" ht="15">
      <c r="B110" s="427">
        <v>43256</v>
      </c>
      <c r="C110" s="471" t="s">
        <v>67</v>
      </c>
      <c r="D110" s="471"/>
      <c r="E110" s="471"/>
      <c r="F110" s="193">
        <v>-9.95</v>
      </c>
      <c r="G110" s="150"/>
      <c r="H110" s="560"/>
    </row>
    <row r="111" spans="2:8" ht="15">
      <c r="B111" s="427">
        <v>43285</v>
      </c>
      <c r="C111" s="471" t="s">
        <v>67</v>
      </c>
      <c r="D111" s="471"/>
      <c r="E111" s="471"/>
      <c r="F111" s="193">
        <v>-9.94</v>
      </c>
      <c r="G111" s="150"/>
      <c r="H111" s="560"/>
    </row>
    <row r="112" spans="2:8" ht="15">
      <c r="B112" s="427">
        <v>43316</v>
      </c>
      <c r="C112" s="471" t="s">
        <v>67</v>
      </c>
      <c r="D112" s="471"/>
      <c r="E112" s="471"/>
      <c r="F112" s="193">
        <v>-9.95</v>
      </c>
      <c r="G112" s="150"/>
      <c r="H112" s="560"/>
    </row>
    <row r="113" spans="2:8" ht="15">
      <c r="B113" s="427">
        <v>43347</v>
      </c>
      <c r="C113" s="471" t="s">
        <v>67</v>
      </c>
      <c r="D113" s="471"/>
      <c r="E113" s="471"/>
      <c r="F113" s="193">
        <v>-9.95</v>
      </c>
      <c r="G113" s="150"/>
      <c r="H113" s="560"/>
    </row>
    <row r="114" spans="2:8" ht="15">
      <c r="B114" s="427">
        <v>43375</v>
      </c>
      <c r="C114" s="471" t="s">
        <v>67</v>
      </c>
      <c r="D114" s="471"/>
      <c r="E114" s="471"/>
      <c r="F114" s="193">
        <v>-9.95</v>
      </c>
      <c r="G114" s="150"/>
      <c r="H114" s="560"/>
    </row>
    <row r="115" spans="2:8" ht="15">
      <c r="B115" s="427">
        <v>43407</v>
      </c>
      <c r="C115" s="471" t="s">
        <v>67</v>
      </c>
      <c r="D115" s="471"/>
      <c r="E115" s="471"/>
      <c r="F115" s="193">
        <v>-9.95</v>
      </c>
      <c r="G115" s="150"/>
      <c r="H115" s="560"/>
    </row>
    <row r="116" spans="2:8" ht="15">
      <c r="B116" s="427">
        <v>43438</v>
      </c>
      <c r="C116" s="471" t="s">
        <v>67</v>
      </c>
      <c r="D116" s="471"/>
      <c r="E116" s="471"/>
      <c r="F116" s="193">
        <v>-9.94</v>
      </c>
      <c r="G116" s="150"/>
      <c r="H116" s="560"/>
    </row>
    <row r="117" spans="2:8" ht="15">
      <c r="B117" s="427"/>
      <c r="C117" s="471"/>
      <c r="D117" s="471"/>
      <c r="E117" s="471"/>
      <c r="F117" s="193"/>
      <c r="G117" s="150"/>
      <c r="H117" s="560"/>
    </row>
    <row r="118" spans="2:8" ht="15">
      <c r="B118" s="427"/>
      <c r="C118" s="471" t="s">
        <v>364</v>
      </c>
      <c r="D118" s="471"/>
      <c r="E118" s="471"/>
      <c r="F118" s="193">
        <f>SUM(F104:F116)</f>
        <v>-120.32000000000001</v>
      </c>
      <c r="G118" s="150"/>
      <c r="H118" s="560"/>
    </row>
    <row r="119" spans="2:8" ht="15">
      <c r="B119" s="427"/>
      <c r="C119" s="471" t="s">
        <v>363</v>
      </c>
      <c r="D119" s="471"/>
      <c r="E119" s="471"/>
      <c r="F119" s="193"/>
      <c r="G119" s="150"/>
      <c r="H119" s="560"/>
    </row>
    <row r="120" spans="2:8" ht="15">
      <c r="B120" s="427">
        <v>43364</v>
      </c>
      <c r="C120" s="471" t="s">
        <v>396</v>
      </c>
      <c r="D120" s="471"/>
      <c r="E120" s="471"/>
      <c r="F120" s="193">
        <v>0.97</v>
      </c>
      <c r="G120" s="150"/>
      <c r="H120" s="560"/>
    </row>
    <row r="121" spans="2:8" ht="15">
      <c r="B121" s="427">
        <v>43367</v>
      </c>
      <c r="C121" s="471" t="s">
        <v>396</v>
      </c>
      <c r="D121" s="471"/>
      <c r="E121" s="471"/>
      <c r="F121" s="193">
        <v>0.97</v>
      </c>
      <c r="G121" s="150"/>
      <c r="H121" s="560"/>
    </row>
    <row r="122" spans="2:8" ht="15">
      <c r="B122" s="427"/>
      <c r="C122" s="471" t="s">
        <v>365</v>
      </c>
      <c r="D122" s="471"/>
      <c r="E122" s="471"/>
      <c r="F122" s="193">
        <f>SUM(F119:F121)</f>
        <v>1.94</v>
      </c>
      <c r="G122" s="150"/>
      <c r="H122" s="560"/>
    </row>
    <row r="123" spans="2:8" ht="15">
      <c r="B123" s="570">
        <f>B2</f>
        <v>43830</v>
      </c>
      <c r="C123" s="571" t="s">
        <v>2</v>
      </c>
      <c r="D123" s="571"/>
      <c r="E123" s="571"/>
      <c r="F123" s="118">
        <f>F103+F118+F122</f>
        <v>14.94000000000007</v>
      </c>
      <c r="G123" s="150"/>
      <c r="H123" s="560"/>
    </row>
    <row r="124" spans="2:8" ht="15">
      <c r="B124" s="130"/>
      <c r="C124" s="117"/>
      <c r="D124" s="117"/>
      <c r="E124" s="573"/>
      <c r="F124" s="131"/>
      <c r="G124" s="150"/>
      <c r="H124" s="560"/>
    </row>
    <row r="125" spans="2:8" ht="15" thickBot="1">
      <c r="B125" s="29"/>
      <c r="C125" s="29"/>
      <c r="D125" s="29"/>
      <c r="E125" s="29"/>
      <c r="F125" s="29"/>
      <c r="G125" s="150"/>
      <c r="H125" s="150"/>
    </row>
    <row r="126" spans="1:10" ht="15">
      <c r="A126" s="108"/>
      <c r="B126" s="432" t="s">
        <v>45</v>
      </c>
      <c r="C126" s="177"/>
      <c r="D126" s="177"/>
      <c r="E126" s="222" t="s">
        <v>113</v>
      </c>
      <c r="F126" s="179"/>
      <c r="G126" s="150"/>
      <c r="H126" s="150"/>
      <c r="I126" s="150"/>
      <c r="J126" s="150"/>
    </row>
    <row r="127" spans="2:13" ht="15">
      <c r="B127" s="129"/>
      <c r="C127" s="117" t="s">
        <v>61</v>
      </c>
      <c r="D127" s="117"/>
      <c r="E127" s="117"/>
      <c r="F127" s="173">
        <f>'project 2016'!F75</f>
        <v>2084</v>
      </c>
      <c r="G127" s="150"/>
      <c r="H127" s="401"/>
      <c r="I127" s="235"/>
      <c r="J127" s="235"/>
      <c r="K127" s="235"/>
      <c r="L127" s="235"/>
      <c r="M127" s="235"/>
    </row>
    <row r="128" spans="2:13" ht="15">
      <c r="B128" s="434" t="s">
        <v>81</v>
      </c>
      <c r="C128" s="194"/>
      <c r="D128" s="176"/>
      <c r="E128" s="176"/>
      <c r="F128" s="436"/>
      <c r="G128" s="150"/>
      <c r="H128" s="401"/>
      <c r="I128" s="235"/>
      <c r="J128" s="235"/>
      <c r="K128" s="235"/>
      <c r="L128" s="235"/>
      <c r="M128" s="235"/>
    </row>
    <row r="129" spans="2:13" ht="15">
      <c r="B129" s="195"/>
      <c r="C129" s="194"/>
      <c r="D129" s="176"/>
      <c r="E129" s="176"/>
      <c r="F129" s="196">
        <v>0</v>
      </c>
      <c r="G129" s="150"/>
      <c r="H129" s="401"/>
      <c r="I129" s="235"/>
      <c r="J129" s="235"/>
      <c r="K129" s="235"/>
      <c r="L129" s="235"/>
      <c r="M129" s="235"/>
    </row>
    <row r="130" spans="2:13" ht="15">
      <c r="B130" s="437">
        <f>B78</f>
        <v>42735</v>
      </c>
      <c r="C130" s="263" t="str">
        <f>C78</f>
        <v>Saldo</v>
      </c>
      <c r="D130" s="189"/>
      <c r="E130" s="189"/>
      <c r="F130" s="240">
        <f>'project 2016'!F78</f>
        <v>2084</v>
      </c>
      <c r="G130" s="224"/>
      <c r="H130" s="401"/>
      <c r="I130" s="235"/>
      <c r="J130" s="235"/>
      <c r="K130" s="252"/>
      <c r="L130" s="235"/>
      <c r="M130" s="235"/>
    </row>
    <row r="131" spans="2:13" ht="12.75">
      <c r="B131" s="195"/>
      <c r="C131" s="176"/>
      <c r="D131" s="176"/>
      <c r="E131" s="176"/>
      <c r="F131" s="198"/>
      <c r="G131" s="224"/>
      <c r="H131" s="401"/>
      <c r="I131" s="235"/>
      <c r="J131" s="235"/>
      <c r="K131" s="235"/>
      <c r="L131" s="235"/>
      <c r="M131" s="235"/>
    </row>
    <row r="132" spans="2:10" ht="12.75">
      <c r="B132" s="465">
        <v>42787</v>
      </c>
      <c r="C132" s="466" t="s">
        <v>230</v>
      </c>
      <c r="D132" s="466"/>
      <c r="E132" s="466"/>
      <c r="F132" s="466">
        <f>-200</f>
        <v>-200</v>
      </c>
      <c r="G132" s="123"/>
      <c r="H132" s="150" t="s">
        <v>335</v>
      </c>
      <c r="I132" s="150"/>
      <c r="J132" s="150"/>
    </row>
    <row r="133" spans="2:10" ht="12.75">
      <c r="B133" s="467">
        <v>42787</v>
      </c>
      <c r="C133" s="449" t="s">
        <v>231</v>
      </c>
      <c r="D133" s="449"/>
      <c r="E133" s="449"/>
      <c r="F133" s="468">
        <f>-1884</f>
        <v>-1884</v>
      </c>
      <c r="G133" s="123"/>
      <c r="H133" s="150" t="s">
        <v>336</v>
      </c>
      <c r="I133" s="150"/>
      <c r="J133" s="150"/>
    </row>
    <row r="134" spans="2:10" ht="12.75">
      <c r="B134" s="510" t="s">
        <v>306</v>
      </c>
      <c r="C134" s="192"/>
      <c r="D134" s="192"/>
      <c r="E134" s="192"/>
      <c r="F134" s="470">
        <f>SUM(F132:F133)</f>
        <v>-2084</v>
      </c>
      <c r="G134" s="224"/>
      <c r="H134" s="150"/>
      <c r="I134" s="150"/>
      <c r="J134" s="150"/>
    </row>
    <row r="135" spans="2:10" ht="15.75" thickBot="1">
      <c r="B135" s="435">
        <v>43100</v>
      </c>
      <c r="C135" s="95" t="s">
        <v>2</v>
      </c>
      <c r="D135" s="95"/>
      <c r="E135" s="475"/>
      <c r="F135" s="239">
        <f>F130+F134</f>
        <v>0</v>
      </c>
      <c r="G135" s="224"/>
      <c r="H135" s="150"/>
      <c r="I135" s="150"/>
      <c r="J135" s="150"/>
    </row>
    <row r="136" spans="2:10" ht="13.5" thickBot="1">
      <c r="B136" s="24"/>
      <c r="C136" s="24"/>
      <c r="D136" s="24"/>
      <c r="E136" s="24"/>
      <c r="F136" s="24"/>
      <c r="G136" s="150"/>
      <c r="H136" s="150"/>
      <c r="I136" s="150"/>
      <c r="J136" s="150"/>
    </row>
    <row r="137" spans="1:10" ht="15">
      <c r="A137" s="108"/>
      <c r="B137" s="255" t="s">
        <v>95</v>
      </c>
      <c r="C137" s="203"/>
      <c r="D137" s="178"/>
      <c r="E137" s="222" t="s">
        <v>114</v>
      </c>
      <c r="F137" s="197"/>
      <c r="G137" s="150"/>
      <c r="H137" s="150"/>
      <c r="I137" s="150"/>
      <c r="J137" s="150"/>
    </row>
    <row r="138" spans="2:7" ht="15">
      <c r="B138" s="438"/>
      <c r="C138" s="131" t="s">
        <v>96</v>
      </c>
      <c r="D138" s="131"/>
      <c r="E138" s="131"/>
      <c r="F138" s="173"/>
      <c r="G138" s="150"/>
    </row>
    <row r="139" spans="2:7" ht="15">
      <c r="B139" s="438"/>
      <c r="C139" s="131" t="s">
        <v>60</v>
      </c>
      <c r="D139" s="131"/>
      <c r="E139" s="131"/>
      <c r="F139" s="173">
        <f>'project 2016'!F83</f>
        <v>-933.27</v>
      </c>
      <c r="G139" s="150"/>
    </row>
    <row r="140" spans="2:8" ht="15">
      <c r="B140" s="434" t="s">
        <v>81</v>
      </c>
      <c r="C140" s="176"/>
      <c r="D140" s="176"/>
      <c r="E140" s="176"/>
      <c r="F140" s="198"/>
      <c r="G140" s="150"/>
      <c r="H140" s="224"/>
    </row>
    <row r="141" spans="2:8" ht="15">
      <c r="B141" s="156">
        <v>42382</v>
      </c>
      <c r="C141" s="202" t="s">
        <v>97</v>
      </c>
      <c r="D141" s="202"/>
      <c r="E141" s="202"/>
      <c r="F141" s="196">
        <v>1250</v>
      </c>
      <c r="G141" s="150"/>
      <c r="H141" s="150"/>
    </row>
    <row r="142" spans="2:8" ht="12.75">
      <c r="B142" s="195"/>
      <c r="C142" s="176"/>
      <c r="D142" s="176"/>
      <c r="E142" s="176"/>
      <c r="F142" s="198"/>
      <c r="G142" s="150"/>
      <c r="H142" s="150"/>
    </row>
    <row r="143" spans="2:8" ht="15">
      <c r="B143" s="195"/>
      <c r="C143" s="201" t="s">
        <v>68</v>
      </c>
      <c r="D143" s="201"/>
      <c r="E143" s="201"/>
      <c r="F143" s="196">
        <f>F139+F141</f>
        <v>316.73</v>
      </c>
      <c r="G143" s="150"/>
      <c r="H143" s="150"/>
    </row>
    <row r="144" spans="2:8" ht="12.75">
      <c r="B144" s="195"/>
      <c r="C144" s="176"/>
      <c r="D144" s="176"/>
      <c r="E144" s="176"/>
      <c r="F144" s="198"/>
      <c r="G144" s="150"/>
      <c r="H144" s="150"/>
    </row>
    <row r="145" spans="2:8" ht="15">
      <c r="B145" s="232">
        <v>42522</v>
      </c>
      <c r="C145" s="202" t="s">
        <v>124</v>
      </c>
      <c r="D145" s="176"/>
      <c r="E145" s="176"/>
      <c r="F145" s="448">
        <v>-216.59</v>
      </c>
      <c r="G145" s="150"/>
      <c r="H145" s="150"/>
    </row>
    <row r="146" spans="2:9" ht="12.75">
      <c r="B146" s="195"/>
      <c r="C146" s="176"/>
      <c r="D146" s="176"/>
      <c r="E146" s="176"/>
      <c r="F146" s="198"/>
      <c r="G146" s="150"/>
      <c r="H146" s="150"/>
      <c r="I146" s="121"/>
    </row>
    <row r="147" spans="2:9" ht="15">
      <c r="B147" s="119">
        <f>B130</f>
        <v>42735</v>
      </c>
      <c r="C147" s="262" t="s">
        <v>2</v>
      </c>
      <c r="D147" s="262"/>
      <c r="E147" s="262"/>
      <c r="F147" s="173">
        <f>'project 2016'!F91</f>
        <v>100.14000000000001</v>
      </c>
      <c r="G147" s="150"/>
      <c r="H147" s="150"/>
      <c r="I147" s="121"/>
    </row>
    <row r="148" spans="2:9" ht="15">
      <c r="B148" s="406" t="s">
        <v>101</v>
      </c>
      <c r="C148" s="241"/>
      <c r="D148" s="241"/>
      <c r="E148" s="241"/>
      <c r="F148" s="240"/>
      <c r="G148" s="150"/>
      <c r="H148" s="150"/>
      <c r="I148" s="121"/>
    </row>
    <row r="149" spans="2:9" ht="15">
      <c r="B149" s="450">
        <v>42795</v>
      </c>
      <c r="C149" s="201" t="s">
        <v>244</v>
      </c>
      <c r="D149" s="201"/>
      <c r="E149" s="201"/>
      <c r="F149" s="196">
        <f>-68.7</f>
        <v>-68.7</v>
      </c>
      <c r="G149" s="122"/>
      <c r="H149" s="150" t="s">
        <v>351</v>
      </c>
      <c r="I149" s="568" t="s">
        <v>354</v>
      </c>
    </row>
    <row r="150" spans="2:9" ht="15">
      <c r="B150" s="406" t="s">
        <v>263</v>
      </c>
      <c r="C150" s="241"/>
      <c r="D150" s="241"/>
      <c r="E150" s="241"/>
      <c r="F150" s="240">
        <f>F149</f>
        <v>-68.7</v>
      </c>
      <c r="G150" s="150"/>
      <c r="H150" s="150"/>
      <c r="I150" s="121"/>
    </row>
    <row r="151" spans="2:9" ht="15">
      <c r="B151" s="119">
        <v>43100</v>
      </c>
      <c r="C151" s="262" t="s">
        <v>2</v>
      </c>
      <c r="D151" s="262"/>
      <c r="E151" s="262"/>
      <c r="F151" s="173">
        <f>F149+F147</f>
        <v>31.440000000000012</v>
      </c>
      <c r="G151" s="150"/>
      <c r="H151" s="150"/>
      <c r="I151" s="121"/>
    </row>
    <row r="152" spans="2:9" ht="15">
      <c r="B152" s="427"/>
      <c r="C152" s="471" t="s">
        <v>362</v>
      </c>
      <c r="D152" s="471"/>
      <c r="E152" s="471"/>
      <c r="F152" s="193"/>
      <c r="G152" s="150"/>
      <c r="H152" s="150"/>
      <c r="I152" s="121"/>
    </row>
    <row r="153" spans="2:9" ht="15">
      <c r="B153" s="427"/>
      <c r="C153" s="471"/>
      <c r="D153" s="471"/>
      <c r="E153" s="471"/>
      <c r="F153" s="193"/>
      <c r="G153" s="150"/>
      <c r="H153" s="150"/>
      <c r="I153" s="121"/>
    </row>
    <row r="154" spans="2:9" ht="15">
      <c r="B154" s="427"/>
      <c r="C154" s="471"/>
      <c r="D154" s="471"/>
      <c r="E154" s="471"/>
      <c r="F154" s="193"/>
      <c r="G154" s="150"/>
      <c r="H154" s="150"/>
      <c r="I154" s="121"/>
    </row>
    <row r="155" spans="2:9" ht="15">
      <c r="B155" s="427"/>
      <c r="C155" s="471" t="s">
        <v>364</v>
      </c>
      <c r="D155" s="471"/>
      <c r="E155" s="471"/>
      <c r="F155" s="193">
        <f>SUM(F152:F154)</f>
        <v>0</v>
      </c>
      <c r="G155" s="150"/>
      <c r="H155" s="150"/>
      <c r="I155" s="121"/>
    </row>
    <row r="156" spans="2:9" ht="15">
      <c r="B156" s="427"/>
      <c r="C156" s="471" t="s">
        <v>363</v>
      </c>
      <c r="D156" s="471"/>
      <c r="E156" s="471"/>
      <c r="F156" s="193"/>
      <c r="G156" s="150"/>
      <c r="H156" s="150"/>
      <c r="I156" s="121"/>
    </row>
    <row r="157" spans="2:9" ht="15">
      <c r="B157" s="427"/>
      <c r="C157" s="471"/>
      <c r="D157" s="471"/>
      <c r="E157" s="471"/>
      <c r="F157" s="193"/>
      <c r="G157" s="150"/>
      <c r="H157" s="150"/>
      <c r="I157" s="121"/>
    </row>
    <row r="158" spans="2:9" ht="15">
      <c r="B158" s="427"/>
      <c r="C158" s="471"/>
      <c r="D158" s="471"/>
      <c r="E158" s="471"/>
      <c r="F158" s="193"/>
      <c r="G158" s="150"/>
      <c r="H158" s="150"/>
      <c r="I158" s="121"/>
    </row>
    <row r="159" spans="2:9" ht="15">
      <c r="B159" s="427"/>
      <c r="C159" s="471" t="s">
        <v>365</v>
      </c>
      <c r="D159" s="471"/>
      <c r="E159" s="471"/>
      <c r="F159" s="193">
        <f>SUM(F156:F158)</f>
        <v>0</v>
      </c>
      <c r="G159" s="150"/>
      <c r="H159" s="150"/>
      <c r="I159" s="121"/>
    </row>
    <row r="160" spans="2:9" ht="15">
      <c r="B160" s="570">
        <f>B2</f>
        <v>43830</v>
      </c>
      <c r="C160" s="571" t="s">
        <v>2</v>
      </c>
      <c r="D160" s="571"/>
      <c r="E160" s="571"/>
      <c r="F160" s="118">
        <f>F151+F155+F159</f>
        <v>31.440000000000012</v>
      </c>
      <c r="G160" s="150"/>
      <c r="H160" s="150"/>
      <c r="I160" s="121"/>
    </row>
    <row r="161" spans="2:9" ht="15.75" thickBot="1">
      <c r="B161" s="182"/>
      <c r="C161" s="164"/>
      <c r="D161" s="183"/>
      <c r="E161" s="183"/>
      <c r="F161" s="184"/>
      <c r="G161" s="150"/>
      <c r="H161" s="150"/>
      <c r="I161" s="121"/>
    </row>
    <row r="162" spans="2:9" ht="13.5" thickBot="1">
      <c r="B162" s="24"/>
      <c r="C162" s="24"/>
      <c r="D162" s="24"/>
      <c r="E162" s="24"/>
      <c r="F162" s="24"/>
      <c r="G162" s="150"/>
      <c r="H162" s="150"/>
      <c r="I162" s="121"/>
    </row>
    <row r="163" spans="2:9" ht="12.75">
      <c r="B163" s="416" t="s">
        <v>131</v>
      </c>
      <c r="C163" s="417"/>
      <c r="D163" s="417"/>
      <c r="E163" s="417"/>
      <c r="F163" s="418"/>
      <c r="G163" s="150"/>
      <c r="H163" s="150"/>
      <c r="I163" s="121"/>
    </row>
    <row r="164" spans="2:8" ht="15">
      <c r="B164" s="439" t="s">
        <v>83</v>
      </c>
      <c r="C164" s="419"/>
      <c r="D164" s="176"/>
      <c r="E164" s="420" t="s">
        <v>115</v>
      </c>
      <c r="F164" s="198"/>
      <c r="G164" s="150"/>
      <c r="H164" s="150"/>
    </row>
    <row r="165" spans="2:8" ht="15">
      <c r="B165" s="406">
        <v>42004</v>
      </c>
      <c r="C165" s="421" t="s">
        <v>84</v>
      </c>
      <c r="D165" s="421"/>
      <c r="E165" s="421"/>
      <c r="F165" s="193">
        <v>0</v>
      </c>
      <c r="G165" s="150"/>
      <c r="H165" s="150"/>
    </row>
    <row r="166" spans="2:10" ht="15">
      <c r="B166" s="440">
        <v>42343</v>
      </c>
      <c r="C166" s="131" t="s">
        <v>85</v>
      </c>
      <c r="D166" s="131" t="s">
        <v>86</v>
      </c>
      <c r="E166" s="131"/>
      <c r="F166" s="173">
        <v>5000</v>
      </c>
      <c r="G166" s="150"/>
      <c r="H166" s="150"/>
      <c r="J166">
        <v>0</v>
      </c>
    </row>
    <row r="167" spans="2:8" ht="15">
      <c r="B167" s="438"/>
      <c r="C167" s="131" t="s">
        <v>61</v>
      </c>
      <c r="D167" s="131"/>
      <c r="E167" s="131"/>
      <c r="F167" s="173">
        <f>F166</f>
        <v>5000</v>
      </c>
      <c r="G167" s="150"/>
      <c r="H167" s="150"/>
    </row>
    <row r="168" spans="2:10" ht="15">
      <c r="B168" s="434" t="s">
        <v>81</v>
      </c>
      <c r="C168" s="176"/>
      <c r="D168" s="176"/>
      <c r="E168" s="176"/>
      <c r="F168" s="198"/>
      <c r="G168" s="150"/>
      <c r="H168" s="150"/>
      <c r="J168">
        <v>7537.839999999998</v>
      </c>
    </row>
    <row r="169" spans="2:10" ht="15">
      <c r="B169" s="156">
        <v>42424</v>
      </c>
      <c r="C169" s="202" t="s">
        <v>90</v>
      </c>
      <c r="D169" s="200"/>
      <c r="E169" s="200"/>
      <c r="F169" s="196">
        <v>10000</v>
      </c>
      <c r="G169" s="150"/>
      <c r="H169" s="150"/>
      <c r="J169">
        <v>0</v>
      </c>
    </row>
    <row r="170" spans="2:10" ht="15">
      <c r="B170" s="156">
        <v>42424</v>
      </c>
      <c r="C170" s="200" t="s">
        <v>87</v>
      </c>
      <c r="D170" s="200"/>
      <c r="E170" s="201"/>
      <c r="F170" s="196">
        <v>5000</v>
      </c>
      <c r="G170" s="150"/>
      <c r="H170" s="150"/>
      <c r="J170">
        <v>48.66</v>
      </c>
    </row>
    <row r="171" spans="2:10" ht="15">
      <c r="B171" s="156">
        <v>42523</v>
      </c>
      <c r="C171" s="202" t="s">
        <v>120</v>
      </c>
      <c r="D171" s="202"/>
      <c r="E171" s="201"/>
      <c r="F171" s="231">
        <v>2500</v>
      </c>
      <c r="G171" s="150"/>
      <c r="H171" s="150"/>
      <c r="J171">
        <v>0</v>
      </c>
    </row>
    <row r="172" spans="2:8" ht="15">
      <c r="B172" s="156">
        <v>42536</v>
      </c>
      <c r="C172" s="202" t="s">
        <v>123</v>
      </c>
      <c r="D172" s="202"/>
      <c r="E172" s="201"/>
      <c r="F172" s="231">
        <v>1500</v>
      </c>
      <c r="G172" s="150"/>
      <c r="H172" s="150"/>
    </row>
    <row r="173" spans="2:10" ht="15">
      <c r="B173" s="233" t="s">
        <v>147</v>
      </c>
      <c r="C173" s="202" t="s">
        <v>146</v>
      </c>
      <c r="D173" s="202"/>
      <c r="E173" s="202"/>
      <c r="F173" s="231">
        <v>950</v>
      </c>
      <c r="G173" s="150"/>
      <c r="H173" s="150"/>
      <c r="J173">
        <v>926</v>
      </c>
    </row>
    <row r="174" spans="2:8" ht="15">
      <c r="B174" s="156"/>
      <c r="C174" s="262" t="s">
        <v>151</v>
      </c>
      <c r="D174" s="262"/>
      <c r="E174" s="262"/>
      <c r="F174" s="173">
        <f>SUM(F169:F173)</f>
        <v>19950</v>
      </c>
      <c r="G174" s="150"/>
      <c r="H174" s="150"/>
    </row>
    <row r="175" spans="2:8" ht="15">
      <c r="B175" s="156"/>
      <c r="C175" s="201"/>
      <c r="D175" s="201"/>
      <c r="E175" s="201"/>
      <c r="F175" s="196"/>
      <c r="G175" s="150"/>
      <c r="H175" s="150"/>
    </row>
    <row r="176" spans="2:8" ht="15">
      <c r="B176" s="156">
        <v>42515</v>
      </c>
      <c r="C176" s="201" t="s">
        <v>128</v>
      </c>
      <c r="D176" s="201"/>
      <c r="E176" s="201"/>
      <c r="F176" s="196">
        <f>-907.5</f>
        <v>-907.5</v>
      </c>
      <c r="G176" s="150"/>
      <c r="H176" s="150"/>
    </row>
    <row r="177" spans="2:8" ht="15">
      <c r="B177" s="156">
        <v>42612</v>
      </c>
      <c r="C177" s="201" t="s">
        <v>127</v>
      </c>
      <c r="D177" s="201"/>
      <c r="E177" s="201"/>
      <c r="F177" s="196">
        <f>-5248.38</f>
        <v>-5248.38</v>
      </c>
      <c r="G177" s="150"/>
      <c r="H177" s="150"/>
    </row>
    <row r="178" spans="2:8" ht="15">
      <c r="B178" s="156"/>
      <c r="C178" s="201"/>
      <c r="D178" s="201"/>
      <c r="E178" s="201"/>
      <c r="F178" s="196"/>
      <c r="G178" s="150"/>
      <c r="H178" s="150"/>
    </row>
    <row r="179" spans="2:8" ht="15">
      <c r="B179" s="156">
        <v>42612</v>
      </c>
      <c r="C179" s="201" t="s">
        <v>135</v>
      </c>
      <c r="D179" s="201"/>
      <c r="E179" s="201"/>
      <c r="F179" s="196">
        <f>-201.95</f>
        <v>-201.95</v>
      </c>
      <c r="G179" s="150"/>
      <c r="H179" s="150"/>
    </row>
    <row r="180" spans="2:8" ht="15">
      <c r="B180" s="156">
        <v>42615</v>
      </c>
      <c r="C180" s="201" t="s">
        <v>136</v>
      </c>
      <c r="D180" s="201"/>
      <c r="E180" s="201"/>
      <c r="F180" s="196">
        <f>-9709.6</f>
        <v>-9709.6</v>
      </c>
      <c r="G180" s="150"/>
      <c r="H180" s="150"/>
    </row>
    <row r="181" spans="2:8" ht="15">
      <c r="B181" s="156">
        <v>42621</v>
      </c>
      <c r="C181" s="201" t="s">
        <v>138</v>
      </c>
      <c r="D181" s="201"/>
      <c r="E181" s="201"/>
      <c r="F181" s="196">
        <v>-96.61</v>
      </c>
      <c r="G181" s="150"/>
      <c r="H181" s="150"/>
    </row>
    <row r="182" spans="2:8" ht="15">
      <c r="B182" s="233">
        <v>42648</v>
      </c>
      <c r="C182" s="201" t="s">
        <v>137</v>
      </c>
      <c r="D182" s="201"/>
      <c r="E182" s="201"/>
      <c r="F182" s="196">
        <v>-393.45</v>
      </c>
      <c r="G182" s="150"/>
      <c r="H182" s="235"/>
    </row>
    <row r="183" spans="2:8" ht="15">
      <c r="B183" s="233">
        <v>42697</v>
      </c>
      <c r="C183" s="201" t="s">
        <v>136</v>
      </c>
      <c r="D183" s="201"/>
      <c r="E183" s="201"/>
      <c r="F183" s="196">
        <v>-54.45</v>
      </c>
      <c r="G183" s="150"/>
      <c r="H183" s="235"/>
    </row>
    <row r="184" spans="2:8" ht="15">
      <c r="B184" s="233">
        <v>42704</v>
      </c>
      <c r="C184" s="201" t="s">
        <v>143</v>
      </c>
      <c r="D184" s="201"/>
      <c r="E184" s="201"/>
      <c r="F184" s="196">
        <v>-299.48</v>
      </c>
      <c r="G184" s="150"/>
      <c r="H184" s="235"/>
    </row>
    <row r="185" spans="2:8" ht="15">
      <c r="B185" s="233">
        <v>42716</v>
      </c>
      <c r="C185" s="201" t="s">
        <v>155</v>
      </c>
      <c r="D185" s="201"/>
      <c r="E185" s="201"/>
      <c r="F185" s="196">
        <f>-225</f>
        <v>-225</v>
      </c>
      <c r="G185" s="150"/>
      <c r="H185" s="235"/>
    </row>
    <row r="186" spans="2:8" ht="15">
      <c r="B186" s="233">
        <v>42724</v>
      </c>
      <c r="C186" s="202" t="s">
        <v>156</v>
      </c>
      <c r="D186" s="202"/>
      <c r="E186" s="202"/>
      <c r="F186" s="196">
        <v>-105.27</v>
      </c>
      <c r="G186" s="150"/>
      <c r="H186" s="235"/>
    </row>
    <row r="187" spans="2:8" ht="15">
      <c r="B187" s="233"/>
      <c r="C187" s="262"/>
      <c r="D187" s="262"/>
      <c r="E187" s="262"/>
      <c r="F187" s="173"/>
      <c r="G187" s="150"/>
      <c r="H187" s="235"/>
    </row>
    <row r="188" spans="2:8" ht="15">
      <c r="B188" s="233"/>
      <c r="C188" s="262" t="s">
        <v>157</v>
      </c>
      <c r="D188" s="262"/>
      <c r="E188" s="262"/>
      <c r="F188" s="173">
        <f>SUM(F176:F186)</f>
        <v>-17241.690000000002</v>
      </c>
      <c r="G188" s="150"/>
      <c r="H188" s="235"/>
    </row>
    <row r="189" spans="2:10" ht="15">
      <c r="B189" s="233">
        <v>42731</v>
      </c>
      <c r="C189" s="262" t="s">
        <v>164</v>
      </c>
      <c r="D189" s="262"/>
      <c r="E189" s="262"/>
      <c r="F189" s="173">
        <v>40</v>
      </c>
      <c r="G189" s="122"/>
      <c r="H189" s="235" t="s">
        <v>326</v>
      </c>
      <c r="I189" s="559">
        <v>43125</v>
      </c>
      <c r="J189" t="s">
        <v>328</v>
      </c>
    </row>
    <row r="190" spans="2:10" ht="15">
      <c r="B190" s="233">
        <v>42731</v>
      </c>
      <c r="C190" s="262" t="s">
        <v>164</v>
      </c>
      <c r="D190" s="262"/>
      <c r="E190" s="262"/>
      <c r="F190" s="173">
        <v>405</v>
      </c>
      <c r="G190" s="122"/>
      <c r="H190" s="235" t="s">
        <v>327</v>
      </c>
      <c r="I190" s="559">
        <v>43125</v>
      </c>
      <c r="J190" t="s">
        <v>328</v>
      </c>
    </row>
    <row r="191" spans="2:8" ht="15">
      <c r="B191" s="406">
        <f>B147</f>
        <v>42735</v>
      </c>
      <c r="C191" s="241" t="str">
        <f>C147</f>
        <v>Saldo</v>
      </c>
      <c r="D191" s="241"/>
      <c r="E191" s="241"/>
      <c r="F191" s="240">
        <f>'project 2016'!F122</f>
        <v>8153.309999999998</v>
      </c>
      <c r="G191" s="150"/>
      <c r="H191" s="235"/>
    </row>
    <row r="192" spans="2:8" ht="15">
      <c r="B192" s="450" t="s">
        <v>100</v>
      </c>
      <c r="C192" s="201"/>
      <c r="D192" s="201"/>
      <c r="E192" s="201"/>
      <c r="F192" s="196"/>
      <c r="G192" s="150"/>
      <c r="H192" s="235"/>
    </row>
    <row r="193" spans="2:8" ht="15">
      <c r="B193" s="450">
        <v>42736</v>
      </c>
      <c r="C193" s="201" t="s">
        <v>59</v>
      </c>
      <c r="D193" s="201"/>
      <c r="E193" s="201"/>
      <c r="F193" s="196">
        <v>13.29</v>
      </c>
      <c r="G193" s="122"/>
      <c r="H193" s="235" t="s">
        <v>330</v>
      </c>
    </row>
    <row r="194" spans="2:8" ht="15">
      <c r="B194" s="450">
        <v>42926</v>
      </c>
      <c r="C194" s="201" t="s">
        <v>164</v>
      </c>
      <c r="D194" s="201"/>
      <c r="E194" s="201"/>
      <c r="F194" s="196">
        <v>60</v>
      </c>
      <c r="G194" s="122"/>
      <c r="H194" s="235" t="s">
        <v>330</v>
      </c>
    </row>
    <row r="195" spans="2:8" ht="15">
      <c r="B195" s="450">
        <v>43056</v>
      </c>
      <c r="C195" s="201" t="s">
        <v>282</v>
      </c>
      <c r="D195" s="201"/>
      <c r="E195" s="201"/>
      <c r="F195" s="196">
        <v>30</v>
      </c>
      <c r="G195" s="122"/>
      <c r="H195" s="235" t="s">
        <v>330</v>
      </c>
    </row>
    <row r="196" spans="2:8" ht="15">
      <c r="B196" s="119" t="s">
        <v>303</v>
      </c>
      <c r="C196" s="262"/>
      <c r="D196" s="262"/>
      <c r="E196" s="262"/>
      <c r="F196" s="173">
        <f>SUM(F193:F195)</f>
        <v>103.28999999999999</v>
      </c>
      <c r="G196" s="150"/>
      <c r="H196" s="235"/>
    </row>
    <row r="197" spans="2:8" ht="15">
      <c r="B197" s="450" t="s">
        <v>101</v>
      </c>
      <c r="C197" s="201"/>
      <c r="D197" s="201"/>
      <c r="E197" s="201"/>
      <c r="F197" s="196"/>
      <c r="G197" s="150"/>
      <c r="H197" s="235"/>
    </row>
    <row r="198" spans="2:8" ht="15">
      <c r="B198" s="450">
        <v>42787</v>
      </c>
      <c r="C198" s="201" t="s">
        <v>238</v>
      </c>
      <c r="D198" s="201"/>
      <c r="E198" s="201"/>
      <c r="F198" s="196">
        <f>-F193</f>
        <v>-13.29</v>
      </c>
      <c r="G198" s="122"/>
      <c r="H198" s="235" t="s">
        <v>335</v>
      </c>
    </row>
    <row r="199" spans="2:10" ht="15">
      <c r="B199" s="450">
        <v>42885</v>
      </c>
      <c r="C199" s="201" t="s">
        <v>253</v>
      </c>
      <c r="D199" s="201" t="s">
        <v>254</v>
      </c>
      <c r="E199" s="201"/>
      <c r="F199" s="196">
        <v>-326.7</v>
      </c>
      <c r="G199" s="122"/>
      <c r="H199" s="252" t="s">
        <v>342</v>
      </c>
      <c r="I199" s="7" t="s">
        <v>339</v>
      </c>
      <c r="J199" s="132"/>
    </row>
    <row r="200" spans="2:10" ht="15">
      <c r="B200" s="450">
        <v>42926</v>
      </c>
      <c r="C200" s="201" t="s">
        <v>253</v>
      </c>
      <c r="D200" s="201"/>
      <c r="E200" s="201"/>
      <c r="F200" s="196">
        <v>-159.72</v>
      </c>
      <c r="G200" s="122"/>
      <c r="H200" s="252" t="s">
        <v>342</v>
      </c>
      <c r="I200" s="567" t="s">
        <v>353</v>
      </c>
      <c r="J200" s="476" t="s">
        <v>83</v>
      </c>
    </row>
    <row r="201" spans="2:10" ht="15">
      <c r="B201" s="450">
        <v>43025</v>
      </c>
      <c r="C201" s="201" t="s">
        <v>253</v>
      </c>
      <c r="D201" s="201"/>
      <c r="E201" s="201"/>
      <c r="F201" s="196">
        <v>-127.05</v>
      </c>
      <c r="G201" s="122"/>
      <c r="H201" s="252" t="s">
        <v>342</v>
      </c>
      <c r="I201" s="567" t="s">
        <v>353</v>
      </c>
      <c r="J201" s="476" t="s">
        <v>83</v>
      </c>
    </row>
    <row r="202" spans="2:9" ht="15">
      <c r="B202" s="450">
        <v>43025</v>
      </c>
      <c r="C202" s="201" t="s">
        <v>274</v>
      </c>
      <c r="D202" s="201"/>
      <c r="E202" s="201"/>
      <c r="F202" s="196">
        <v>-92</v>
      </c>
      <c r="G202" s="122"/>
      <c r="H202" s="235" t="s">
        <v>331</v>
      </c>
      <c r="I202" s="235"/>
    </row>
    <row r="203" spans="2:8" ht="15">
      <c r="B203" s="119" t="s">
        <v>304</v>
      </c>
      <c r="C203" s="262"/>
      <c r="D203" s="262"/>
      <c r="E203" s="262"/>
      <c r="F203" s="173">
        <f>SUM(F198:F202)</f>
        <v>-718.76</v>
      </c>
      <c r="G203" s="150"/>
      <c r="H203" s="235"/>
    </row>
    <row r="204" spans="2:8" ht="15">
      <c r="B204" s="190">
        <v>43100</v>
      </c>
      <c r="C204" s="241" t="s">
        <v>2</v>
      </c>
      <c r="D204" s="241"/>
      <c r="E204" s="241"/>
      <c r="F204" s="240">
        <f>F191+F196+F203</f>
        <v>7537.839999999998</v>
      </c>
      <c r="G204" s="150"/>
      <c r="H204" s="235"/>
    </row>
    <row r="205" spans="2:8" ht="15">
      <c r="B205" s="427"/>
      <c r="C205" s="471" t="s">
        <v>362</v>
      </c>
      <c r="D205" s="471"/>
      <c r="E205" s="471"/>
      <c r="F205" s="193"/>
      <c r="G205" s="150"/>
      <c r="H205" s="235"/>
    </row>
    <row r="206" spans="2:8" ht="15">
      <c r="B206" s="427">
        <v>43234</v>
      </c>
      <c r="C206" s="471" t="s">
        <v>381</v>
      </c>
      <c r="D206" s="471"/>
      <c r="E206" s="471"/>
      <c r="F206" s="193">
        <v>-186.2</v>
      </c>
      <c r="G206" s="150"/>
      <c r="H206" s="235"/>
    </row>
    <row r="207" spans="2:8" ht="15">
      <c r="B207" s="427">
        <v>43285</v>
      </c>
      <c r="C207" s="471" t="s">
        <v>388</v>
      </c>
      <c r="D207" s="471"/>
      <c r="E207" s="471"/>
      <c r="F207" s="193">
        <v>-71.09</v>
      </c>
      <c r="G207" s="150"/>
      <c r="H207" s="235"/>
    </row>
    <row r="208" spans="2:8" ht="15">
      <c r="B208" s="427">
        <v>43285</v>
      </c>
      <c r="C208" s="471" t="s">
        <v>389</v>
      </c>
      <c r="D208" s="471"/>
      <c r="E208" s="471"/>
      <c r="F208" s="193">
        <v>-24.75</v>
      </c>
      <c r="G208" s="150"/>
      <c r="H208" s="235"/>
    </row>
    <row r="209" spans="2:8" ht="15">
      <c r="B209" s="427">
        <v>43289</v>
      </c>
      <c r="C209" s="471" t="s">
        <v>390</v>
      </c>
      <c r="D209" s="471"/>
      <c r="E209" s="471"/>
      <c r="F209" s="193">
        <v>-326.7</v>
      </c>
      <c r="G209" s="150"/>
      <c r="H209" s="235"/>
    </row>
    <row r="210" spans="2:8" ht="15">
      <c r="B210" s="427">
        <v>43290</v>
      </c>
      <c r="C210" s="471" t="s">
        <v>391</v>
      </c>
      <c r="D210" s="471"/>
      <c r="E210" s="471"/>
      <c r="F210" s="193">
        <v>-97.28</v>
      </c>
      <c r="G210" s="150"/>
      <c r="H210" s="235"/>
    </row>
    <row r="211" spans="2:8" ht="15">
      <c r="B211" s="427">
        <v>43297</v>
      </c>
      <c r="C211" s="471" t="s">
        <v>392</v>
      </c>
      <c r="D211" s="471"/>
      <c r="E211" s="471"/>
      <c r="F211" s="193">
        <v>-504.57</v>
      </c>
      <c r="G211" s="150"/>
      <c r="H211" s="235"/>
    </row>
    <row r="212" spans="2:8" ht="15">
      <c r="B212" s="427">
        <v>43300</v>
      </c>
      <c r="C212" s="471" t="s">
        <v>394</v>
      </c>
      <c r="D212" s="471"/>
      <c r="E212" s="471"/>
      <c r="F212" s="193">
        <v>-150</v>
      </c>
      <c r="G212" s="150"/>
      <c r="H212" s="235"/>
    </row>
    <row r="213" spans="2:8" ht="15">
      <c r="B213" s="427">
        <v>43375</v>
      </c>
      <c r="C213" s="471" t="s">
        <v>395</v>
      </c>
      <c r="D213" s="471"/>
      <c r="E213" s="471"/>
      <c r="F213" s="193">
        <v>-549.08</v>
      </c>
      <c r="G213" s="150"/>
      <c r="H213" s="235"/>
    </row>
    <row r="214" spans="2:8" ht="15">
      <c r="B214" s="427">
        <v>43382</v>
      </c>
      <c r="C214" s="471" t="s">
        <v>397</v>
      </c>
      <c r="D214" s="471"/>
      <c r="E214" s="471"/>
      <c r="F214" s="193">
        <v>-48</v>
      </c>
      <c r="G214" s="150"/>
      <c r="H214" s="235"/>
    </row>
    <row r="215" spans="2:8" ht="15">
      <c r="B215" s="427">
        <v>43388</v>
      </c>
      <c r="C215" s="471" t="s">
        <v>399</v>
      </c>
      <c r="D215" s="471"/>
      <c r="E215" s="471"/>
      <c r="F215" s="193">
        <v>-202.58</v>
      </c>
      <c r="G215" s="150"/>
      <c r="H215" s="235" t="s">
        <v>400</v>
      </c>
    </row>
    <row r="216" spans="2:8" ht="15">
      <c r="B216" s="427">
        <v>43405</v>
      </c>
      <c r="C216" s="471" t="s">
        <v>401</v>
      </c>
      <c r="D216" s="471"/>
      <c r="E216" s="471"/>
      <c r="F216" s="193">
        <v>-315.6</v>
      </c>
      <c r="G216" s="150"/>
      <c r="H216" s="235"/>
    </row>
    <row r="217" spans="2:8" ht="15">
      <c r="B217" s="427"/>
      <c r="C217" s="471"/>
      <c r="D217" s="471"/>
      <c r="E217" s="471"/>
      <c r="F217" s="193"/>
      <c r="G217" s="150"/>
      <c r="H217" s="235"/>
    </row>
    <row r="218" spans="2:8" ht="15">
      <c r="B218" s="427"/>
      <c r="C218" s="471" t="s">
        <v>364</v>
      </c>
      <c r="D218" s="471"/>
      <c r="E218" s="471"/>
      <c r="F218" s="193">
        <f>SUM(F205:F216)</f>
        <v>-2475.85</v>
      </c>
      <c r="G218" s="150"/>
      <c r="H218" s="235"/>
    </row>
    <row r="219" spans="2:8" ht="15">
      <c r="B219" s="427"/>
      <c r="C219" s="471" t="s">
        <v>363</v>
      </c>
      <c r="D219" s="471"/>
      <c r="E219" s="471"/>
      <c r="F219" s="193"/>
      <c r="G219" s="150"/>
      <c r="H219" s="235"/>
    </row>
    <row r="220" spans="2:8" ht="15">
      <c r="B220" s="427">
        <v>43101</v>
      </c>
      <c r="C220" s="471" t="s">
        <v>59</v>
      </c>
      <c r="D220" s="471"/>
      <c r="E220" s="471"/>
      <c r="F220" s="193">
        <v>1.68</v>
      </c>
      <c r="G220" s="150"/>
      <c r="H220" s="252" t="s">
        <v>376</v>
      </c>
    </row>
    <row r="221" spans="2:8" ht="15">
      <c r="B221" s="427"/>
      <c r="C221" s="471"/>
      <c r="D221" s="471"/>
      <c r="E221" s="471"/>
      <c r="F221" s="193"/>
      <c r="G221" s="150"/>
      <c r="H221" s="235"/>
    </row>
    <row r="222" spans="2:8" ht="15">
      <c r="B222" s="427"/>
      <c r="C222" s="471" t="s">
        <v>365</v>
      </c>
      <c r="D222" s="471"/>
      <c r="E222" s="471"/>
      <c r="F222" s="193">
        <f>SUM(F219:F221)</f>
        <v>1.68</v>
      </c>
      <c r="G222" s="150"/>
      <c r="H222" s="235"/>
    </row>
    <row r="223" spans="2:8" ht="15">
      <c r="B223" s="570">
        <f>B2</f>
        <v>43830</v>
      </c>
      <c r="C223" s="571" t="s">
        <v>2</v>
      </c>
      <c r="D223" s="571"/>
      <c r="E223" s="571"/>
      <c r="F223" s="118">
        <f>F204+F218+F222</f>
        <v>5063.669999999998</v>
      </c>
      <c r="G223" s="150"/>
      <c r="H223" s="235"/>
    </row>
    <row r="224" spans="2:8" ht="15.75" thickBot="1">
      <c r="B224" s="182"/>
      <c r="C224" s="164"/>
      <c r="D224" s="183"/>
      <c r="E224" s="183"/>
      <c r="F224" s="184"/>
      <c r="G224" s="150"/>
      <c r="H224" s="235"/>
    </row>
    <row r="225" spans="1:8" ht="15">
      <c r="A225" s="121"/>
      <c r="B225" s="228"/>
      <c r="C225" s="230"/>
      <c r="D225" s="230"/>
      <c r="E225" s="230"/>
      <c r="F225" s="227"/>
      <c r="G225" s="150"/>
      <c r="H225" s="150"/>
    </row>
    <row r="226" spans="2:8" ht="13.5" thickBot="1">
      <c r="B226" s="24"/>
      <c r="C226" s="24"/>
      <c r="D226" s="24"/>
      <c r="E226" s="24"/>
      <c r="F226" s="24"/>
      <c r="G226" s="150"/>
      <c r="H226" s="150"/>
    </row>
    <row r="227" spans="1:8" ht="15">
      <c r="A227" s="108"/>
      <c r="B227" s="255" t="s">
        <v>88</v>
      </c>
      <c r="C227" s="203"/>
      <c r="D227" s="203"/>
      <c r="E227" s="443" t="s">
        <v>116</v>
      </c>
      <c r="F227" s="444"/>
      <c r="G227" s="150"/>
      <c r="H227" s="150"/>
    </row>
    <row r="228" spans="2:8" ht="15">
      <c r="B228" s="438"/>
      <c r="C228" s="131" t="s">
        <v>60</v>
      </c>
      <c r="D228" s="131"/>
      <c r="E228" s="131"/>
      <c r="F228" s="173">
        <v>0</v>
      </c>
      <c r="G228" s="150"/>
      <c r="H228" s="150"/>
    </row>
    <row r="229" spans="2:8" ht="15">
      <c r="B229" s="434" t="s">
        <v>81</v>
      </c>
      <c r="C229" s="424"/>
      <c r="D229" s="176"/>
      <c r="E229" s="176"/>
      <c r="F229" s="198"/>
      <c r="G229" s="150"/>
      <c r="H229" s="150"/>
    </row>
    <row r="230" spans="2:8" ht="15">
      <c r="B230" s="156">
        <v>42466</v>
      </c>
      <c r="C230" s="202" t="s">
        <v>89</v>
      </c>
      <c r="D230" s="202"/>
      <c r="E230" s="202"/>
      <c r="F230" s="196">
        <v>1500</v>
      </c>
      <c r="G230" s="150"/>
      <c r="H230" s="150"/>
    </row>
    <row r="231" spans="2:8" ht="15">
      <c r="B231" s="195"/>
      <c r="C231" s="202"/>
      <c r="D231" s="202"/>
      <c r="E231" s="202"/>
      <c r="F231" s="196"/>
      <c r="G231" s="150"/>
      <c r="H231" s="150"/>
    </row>
    <row r="232" spans="2:8" ht="15">
      <c r="B232" s="195"/>
      <c r="C232" s="241" t="s">
        <v>152</v>
      </c>
      <c r="D232" s="241"/>
      <c r="E232" s="241"/>
      <c r="F232" s="240">
        <f>F228+F230</f>
        <v>1500</v>
      </c>
      <c r="G232" s="224"/>
      <c r="H232" s="150"/>
    </row>
    <row r="233" spans="2:8" ht="15">
      <c r="B233" s="232">
        <v>42710</v>
      </c>
      <c r="C233" s="262" t="s">
        <v>153</v>
      </c>
      <c r="D233" s="262"/>
      <c r="E233" s="262"/>
      <c r="F233" s="173">
        <f>-1500</f>
        <v>-1500</v>
      </c>
      <c r="G233" s="224"/>
      <c r="H233" s="150"/>
    </row>
    <row r="234" spans="2:8" ht="15.75" thickBot="1">
      <c r="B234" s="445">
        <f>B191</f>
        <v>42735</v>
      </c>
      <c r="C234" s="446" t="str">
        <f>C191</f>
        <v>Saldo</v>
      </c>
      <c r="D234" s="446"/>
      <c r="E234" s="446"/>
      <c r="F234" s="239">
        <f>'project 2016'!F133</f>
        <v>0</v>
      </c>
      <c r="G234" s="563"/>
      <c r="H234" s="150"/>
    </row>
    <row r="235" spans="2:8" ht="15">
      <c r="B235" s="505">
        <v>42796</v>
      </c>
      <c r="C235" s="506" t="s">
        <v>375</v>
      </c>
      <c r="D235" s="506"/>
      <c r="E235" s="506"/>
      <c r="F235" s="507">
        <v>1500</v>
      </c>
      <c r="G235" s="176"/>
      <c r="H235" s="150"/>
    </row>
    <row r="236" spans="2:8" ht="15.75" thickBot="1">
      <c r="B236" s="445">
        <v>43100</v>
      </c>
      <c r="C236" s="446" t="s">
        <v>2</v>
      </c>
      <c r="D236" s="446"/>
      <c r="E236" s="446"/>
      <c r="F236" s="239">
        <f>F235</f>
        <v>1500</v>
      </c>
      <c r="G236" s="563"/>
      <c r="H236" s="150"/>
    </row>
    <row r="237" spans="2:8" ht="15">
      <c r="B237" s="427"/>
      <c r="C237" s="471" t="s">
        <v>362</v>
      </c>
      <c r="D237" s="471"/>
      <c r="E237" s="471"/>
      <c r="F237" s="193"/>
      <c r="G237" s="563"/>
      <c r="H237" s="150"/>
    </row>
    <row r="238" spans="2:8" ht="15">
      <c r="B238" s="427">
        <v>43171</v>
      </c>
      <c r="C238" s="471" t="s">
        <v>372</v>
      </c>
      <c r="D238" s="471"/>
      <c r="E238" s="471"/>
      <c r="F238" s="193">
        <v>-1500</v>
      </c>
      <c r="G238" s="563"/>
      <c r="H238" s="150" t="s">
        <v>374</v>
      </c>
    </row>
    <row r="239" spans="2:8" ht="15">
      <c r="B239" s="427">
        <v>43171</v>
      </c>
      <c r="C239" s="471" t="s">
        <v>373</v>
      </c>
      <c r="D239" s="471"/>
      <c r="E239" s="471"/>
      <c r="F239" s="193">
        <v>-1500</v>
      </c>
      <c r="G239" s="563"/>
      <c r="H239" s="150" t="s">
        <v>374</v>
      </c>
    </row>
    <row r="240" spans="2:8" ht="15">
      <c r="B240" s="427"/>
      <c r="C240" s="471" t="s">
        <v>364</v>
      </c>
      <c r="D240" s="471"/>
      <c r="E240" s="471"/>
      <c r="F240" s="193">
        <f>SUM(F237:F239)</f>
        <v>-3000</v>
      </c>
      <c r="G240" s="563"/>
      <c r="H240" s="150"/>
    </row>
    <row r="241" spans="2:8" ht="15">
      <c r="B241" s="427"/>
      <c r="C241" s="471" t="s">
        <v>363</v>
      </c>
      <c r="D241" s="471"/>
      <c r="E241" s="471"/>
      <c r="F241" s="193"/>
      <c r="G241" s="563"/>
      <c r="H241" s="150"/>
    </row>
    <row r="242" spans="2:8" ht="15">
      <c r="B242" s="427">
        <v>43154</v>
      </c>
      <c r="C242" s="471" t="s">
        <v>369</v>
      </c>
      <c r="D242" s="471"/>
      <c r="E242" s="471"/>
      <c r="F242" s="193">
        <v>3000</v>
      </c>
      <c r="G242" s="563"/>
      <c r="H242" s="224" t="s">
        <v>376</v>
      </c>
    </row>
    <row r="243" spans="2:8" ht="15">
      <c r="B243" s="427"/>
      <c r="C243" s="471"/>
      <c r="D243" s="471"/>
      <c r="E243" s="471"/>
      <c r="F243" s="193"/>
      <c r="G243" s="563"/>
      <c r="H243" s="150"/>
    </row>
    <row r="244" spans="2:8" ht="15">
      <c r="B244" s="427"/>
      <c r="C244" s="471" t="s">
        <v>365</v>
      </c>
      <c r="D244" s="471"/>
      <c r="E244" s="471"/>
      <c r="F244" s="193">
        <f>SUM(F241:F243)</f>
        <v>3000</v>
      </c>
      <c r="G244" s="563"/>
      <c r="H244" s="150"/>
    </row>
    <row r="245" spans="2:8" ht="15">
      <c r="B245" s="570">
        <f>B2</f>
        <v>43830</v>
      </c>
      <c r="C245" s="571" t="s">
        <v>2</v>
      </c>
      <c r="D245" s="571"/>
      <c r="E245" s="571"/>
      <c r="F245" s="118">
        <f>F236+F240+F244</f>
        <v>1500</v>
      </c>
      <c r="G245" s="563"/>
      <c r="H245" s="150"/>
    </row>
    <row r="246" spans="2:8" ht="15.75" thickBot="1">
      <c r="B246" s="182"/>
      <c r="C246" s="164"/>
      <c r="D246" s="183"/>
      <c r="E246" s="183"/>
      <c r="F246" s="184"/>
      <c r="G246" s="150"/>
      <c r="H246" s="150"/>
    </row>
    <row r="247" spans="2:8" ht="13.5" thickBot="1">
      <c r="B247" s="24"/>
      <c r="C247" s="24"/>
      <c r="D247" s="24"/>
      <c r="E247" s="24"/>
      <c r="F247" s="24"/>
      <c r="G247" s="150"/>
      <c r="H247" s="150"/>
    </row>
    <row r="248" spans="1:8" ht="15">
      <c r="A248" s="108"/>
      <c r="B248" s="255" t="s">
        <v>93</v>
      </c>
      <c r="C248" s="203"/>
      <c r="D248" s="203"/>
      <c r="E248" s="443" t="s">
        <v>117</v>
      </c>
      <c r="F248" s="444"/>
      <c r="G248" s="150"/>
      <c r="H248" s="150"/>
    </row>
    <row r="249" spans="2:8" ht="15">
      <c r="B249" s="438"/>
      <c r="C249" s="131" t="s">
        <v>60</v>
      </c>
      <c r="D249" s="131"/>
      <c r="E249" s="131"/>
      <c r="F249" s="173">
        <v>0</v>
      </c>
      <c r="G249" s="150"/>
      <c r="H249" s="150"/>
    </row>
    <row r="250" spans="2:8" ht="15">
      <c r="B250" s="434" t="s">
        <v>81</v>
      </c>
      <c r="C250" s="424"/>
      <c r="D250" s="176"/>
      <c r="E250" s="176"/>
      <c r="F250" s="198"/>
      <c r="G250" s="150"/>
      <c r="H250" s="150"/>
    </row>
    <row r="251" spans="2:8" ht="15">
      <c r="B251" s="156">
        <v>42426</v>
      </c>
      <c r="C251" s="202" t="s">
        <v>94</v>
      </c>
      <c r="D251" s="202"/>
      <c r="E251" s="202"/>
      <c r="F251" s="196">
        <v>200</v>
      </c>
      <c r="G251" s="150"/>
      <c r="H251" s="150"/>
    </row>
    <row r="252" spans="2:8" ht="15">
      <c r="B252" s="195"/>
      <c r="C252" s="202" t="s">
        <v>220</v>
      </c>
      <c r="D252" s="202"/>
      <c r="E252" s="202"/>
      <c r="F252" s="196">
        <f>'fin overz 31 dec 2016'!I24</f>
        <v>-151.34</v>
      </c>
      <c r="G252" s="150"/>
      <c r="H252" s="150"/>
    </row>
    <row r="253" spans="2:7" ht="15">
      <c r="B253" s="119">
        <f>B234</f>
        <v>42735</v>
      </c>
      <c r="C253" s="262" t="str">
        <f>C234</f>
        <v>Saldo</v>
      </c>
      <c r="D253" s="262"/>
      <c r="E253" s="262"/>
      <c r="F253" s="173">
        <f>'project 2016'!F141</f>
        <v>48.66</v>
      </c>
      <c r="G253" s="562"/>
    </row>
    <row r="254" spans="2:7" ht="15">
      <c r="B254" s="406"/>
      <c r="C254" s="241" t="s">
        <v>263</v>
      </c>
      <c r="D254" s="241"/>
      <c r="E254" s="241"/>
      <c r="F254" s="240">
        <v>0</v>
      </c>
      <c r="G254" s="224"/>
    </row>
    <row r="255" spans="2:7" ht="15">
      <c r="B255" s="406"/>
      <c r="C255" s="241" t="s">
        <v>262</v>
      </c>
      <c r="D255" s="241"/>
      <c r="E255" s="241"/>
      <c r="F255" s="240">
        <v>0</v>
      </c>
      <c r="G255" s="224"/>
    </row>
    <row r="256" spans="2:7" ht="15">
      <c r="B256" s="406"/>
      <c r="C256" s="241"/>
      <c r="D256" s="241"/>
      <c r="E256" s="241"/>
      <c r="F256" s="240"/>
      <c r="G256" s="224"/>
    </row>
    <row r="257" spans="2:7" ht="15">
      <c r="B257" s="119">
        <v>43465</v>
      </c>
      <c r="C257" s="262" t="s">
        <v>2</v>
      </c>
      <c r="D257" s="262"/>
      <c r="E257" s="262"/>
      <c r="F257" s="173">
        <f>F253+F254+F256</f>
        <v>48.66</v>
      </c>
      <c r="G257" s="563"/>
    </row>
    <row r="258" spans="2:7" ht="15">
      <c r="B258" s="427"/>
      <c r="C258" s="471" t="s">
        <v>362</v>
      </c>
      <c r="D258" s="471"/>
      <c r="E258" s="471"/>
      <c r="F258" s="193"/>
      <c r="G258" s="563"/>
    </row>
    <row r="259" spans="2:7" ht="15">
      <c r="B259" s="427"/>
      <c r="C259" s="471"/>
      <c r="D259" s="471"/>
      <c r="E259" s="471"/>
      <c r="F259" s="193"/>
      <c r="G259" s="563"/>
    </row>
    <row r="260" spans="2:7" ht="15">
      <c r="B260" s="427"/>
      <c r="C260" s="471"/>
      <c r="D260" s="471"/>
      <c r="E260" s="471"/>
      <c r="F260" s="193"/>
      <c r="G260" s="563"/>
    </row>
    <row r="261" spans="2:7" ht="15">
      <c r="B261" s="427"/>
      <c r="C261" s="471" t="s">
        <v>364</v>
      </c>
      <c r="D261" s="471"/>
      <c r="E261" s="471"/>
      <c r="F261" s="193">
        <f>SUM(F258:F260)</f>
        <v>0</v>
      </c>
      <c r="G261" s="563"/>
    </row>
    <row r="262" spans="2:7" ht="15">
      <c r="B262" s="427"/>
      <c r="C262" s="471" t="s">
        <v>363</v>
      </c>
      <c r="D262" s="471"/>
      <c r="E262" s="471"/>
      <c r="F262" s="193"/>
      <c r="G262" s="563"/>
    </row>
    <row r="263" spans="2:7" ht="15">
      <c r="B263" s="427"/>
      <c r="C263" s="471"/>
      <c r="D263" s="471"/>
      <c r="E263" s="471"/>
      <c r="F263" s="193"/>
      <c r="G263" s="563"/>
    </row>
    <row r="264" spans="2:7" ht="15">
      <c r="B264" s="427"/>
      <c r="C264" s="471"/>
      <c r="D264" s="471"/>
      <c r="E264" s="471"/>
      <c r="F264" s="193"/>
      <c r="G264" s="563"/>
    </row>
    <row r="265" spans="2:7" ht="15.75" thickBot="1">
      <c r="B265" s="427"/>
      <c r="C265" s="471" t="s">
        <v>365</v>
      </c>
      <c r="D265" s="471"/>
      <c r="E265" s="471"/>
      <c r="F265" s="193">
        <f>SUM(F262:F264)</f>
        <v>0</v>
      </c>
      <c r="G265" s="563"/>
    </row>
    <row r="266" spans="2:8" ht="15.75" thickBot="1">
      <c r="B266" s="574">
        <f>B2</f>
        <v>43830</v>
      </c>
      <c r="C266" s="575" t="s">
        <v>2</v>
      </c>
      <c r="D266" s="575"/>
      <c r="E266" s="575"/>
      <c r="F266" s="576">
        <f>F257+F261+F265</f>
        <v>48.66</v>
      </c>
      <c r="G266" s="150"/>
      <c r="H266">
        <v>926</v>
      </c>
    </row>
    <row r="267" spans="2:15" s="121" customFormat="1" ht="15.75" thickBot="1">
      <c r="B267" s="422"/>
      <c r="C267" s="422"/>
      <c r="D267" s="422"/>
      <c r="E267" s="422"/>
      <c r="F267" s="423"/>
      <c r="G267" s="150"/>
      <c r="K267" s="150"/>
      <c r="L267" s="150"/>
      <c r="M267" s="150"/>
      <c r="N267" s="150"/>
      <c r="O267" s="150"/>
    </row>
    <row r="268" spans="1:7" ht="15">
      <c r="A268" s="108"/>
      <c r="B268" s="577"/>
      <c r="C268" s="177"/>
      <c r="D268" s="178"/>
      <c r="E268" s="178" t="s">
        <v>366</v>
      </c>
      <c r="F268" s="179"/>
      <c r="G268" s="150"/>
    </row>
    <row r="269" spans="2:8" ht="15">
      <c r="B269" s="438"/>
      <c r="C269" s="131" t="s">
        <v>60</v>
      </c>
      <c r="D269" s="131"/>
      <c r="E269" s="131"/>
      <c r="F269" s="173">
        <v>0</v>
      </c>
      <c r="G269" s="150"/>
      <c r="H269" s="150"/>
    </row>
    <row r="270" spans="2:8" ht="15">
      <c r="B270" s="434" t="s">
        <v>81</v>
      </c>
      <c r="C270" s="424"/>
      <c r="D270" s="176"/>
      <c r="E270" s="176"/>
      <c r="F270" s="198"/>
      <c r="G270" s="150"/>
      <c r="H270" s="150"/>
    </row>
    <row r="271" spans="2:8" ht="15">
      <c r="B271" s="156">
        <v>42493</v>
      </c>
      <c r="C271" s="202" t="s">
        <v>92</v>
      </c>
      <c r="D271" s="202"/>
      <c r="E271" s="202"/>
      <c r="F271" s="196">
        <v>300</v>
      </c>
      <c r="G271" s="150"/>
      <c r="H271" s="150"/>
    </row>
    <row r="272" spans="2:8" ht="15">
      <c r="B272" s="195"/>
      <c r="C272" s="202"/>
      <c r="D272" s="202"/>
      <c r="E272" s="202"/>
      <c r="F272" s="196"/>
      <c r="G272" s="150"/>
      <c r="H272" s="150"/>
    </row>
    <row r="273" spans="2:8" ht="15">
      <c r="B273" s="195"/>
      <c r="C273" s="241" t="s">
        <v>150</v>
      </c>
      <c r="D273" s="241"/>
      <c r="E273" s="241"/>
      <c r="F273" s="240">
        <f>F269+F271</f>
        <v>300</v>
      </c>
      <c r="G273" s="224"/>
      <c r="H273" s="150"/>
    </row>
    <row r="274" spans="2:8" ht="15">
      <c r="B274" s="232">
        <v>42710</v>
      </c>
      <c r="C274" s="262" t="s">
        <v>154</v>
      </c>
      <c r="D274" s="262"/>
      <c r="E274" s="262"/>
      <c r="F274" s="173">
        <v>-300.01</v>
      </c>
      <c r="G274" s="224"/>
      <c r="H274" s="150"/>
    </row>
    <row r="275" spans="2:13" ht="15">
      <c r="B275" s="406">
        <v>42734</v>
      </c>
      <c r="C275" s="241" t="str">
        <f>C253</f>
        <v>Saldo</v>
      </c>
      <c r="D275" s="241"/>
      <c r="E275" s="241"/>
      <c r="F275" s="240">
        <f>F273+F274</f>
        <v>-0.009999999999990905</v>
      </c>
      <c r="G275" s="150"/>
      <c r="H275" s="401"/>
      <c r="I275" s="235"/>
      <c r="J275" s="235"/>
      <c r="K275" s="235"/>
      <c r="L275" s="235"/>
      <c r="M275" s="235"/>
    </row>
    <row r="276" spans="2:13" ht="15">
      <c r="B276" s="450"/>
      <c r="C276" s="201" t="s">
        <v>240</v>
      </c>
      <c r="D276" s="201"/>
      <c r="E276" s="201"/>
      <c r="F276" s="196">
        <f>-F275</f>
        <v>0.009999999999990905</v>
      </c>
      <c r="G276" s="122"/>
      <c r="H276" s="401" t="s">
        <v>332</v>
      </c>
      <c r="I276" s="235"/>
      <c r="J276" s="235"/>
      <c r="K276" s="235"/>
      <c r="L276" s="235"/>
      <c r="M276" s="235"/>
    </row>
    <row r="277" spans="2:13" ht="15">
      <c r="B277" s="406">
        <f>B2</f>
        <v>43830</v>
      </c>
      <c r="C277" s="241" t="s">
        <v>239</v>
      </c>
      <c r="D277" s="241"/>
      <c r="E277" s="241"/>
      <c r="F277" s="240">
        <f>F275+F276</f>
        <v>0</v>
      </c>
      <c r="G277" s="150"/>
      <c r="H277" s="401"/>
      <c r="I277" s="235"/>
      <c r="J277" s="235"/>
      <c r="K277" s="235"/>
      <c r="L277" s="235"/>
      <c r="M277" s="235"/>
    </row>
    <row r="278" spans="2:13" ht="13.5" thickBot="1">
      <c r="B278" s="163"/>
      <c r="C278" s="183"/>
      <c r="D278" s="183"/>
      <c r="E278" s="183"/>
      <c r="F278" s="199"/>
      <c r="G278" s="150"/>
      <c r="H278" s="401"/>
      <c r="I278" s="235"/>
      <c r="J278" s="235"/>
      <c r="K278" s="224"/>
      <c r="L278" s="235"/>
      <c r="M278" s="235"/>
    </row>
    <row r="279" spans="2:13" ht="13.5" thickBot="1">
      <c r="B279" s="24"/>
      <c r="C279" s="24"/>
      <c r="D279" s="24"/>
      <c r="E279" s="24"/>
      <c r="F279" s="24"/>
      <c r="G279" s="150"/>
      <c r="H279" s="401"/>
      <c r="I279" s="235"/>
      <c r="J279" s="235"/>
      <c r="K279" s="235"/>
      <c r="L279" s="235"/>
      <c r="M279" s="235"/>
    </row>
    <row r="280" spans="2:15" ht="15">
      <c r="B280" s="255" t="s">
        <v>122</v>
      </c>
      <c r="C280" s="203"/>
      <c r="D280" s="203"/>
      <c r="E280" s="447" t="s">
        <v>119</v>
      </c>
      <c r="F280" s="444"/>
      <c r="G280" s="150"/>
      <c r="H280" s="401"/>
      <c r="I280" s="235"/>
      <c r="J280" s="235"/>
      <c r="K280" s="230"/>
      <c r="L280" s="230"/>
      <c r="M280" s="230"/>
      <c r="N280" s="230"/>
      <c r="O280" s="227"/>
    </row>
    <row r="281" spans="2:15" ht="15">
      <c r="B281" s="438"/>
      <c r="C281" s="131" t="s">
        <v>60</v>
      </c>
      <c r="D281" s="131"/>
      <c r="E281" s="131"/>
      <c r="F281" s="173">
        <v>0</v>
      </c>
      <c r="G281" s="150"/>
      <c r="H281" s="401"/>
      <c r="I281" s="235"/>
      <c r="J281" s="235"/>
      <c r="K281" s="230"/>
      <c r="L281" s="230"/>
      <c r="M281" s="230"/>
      <c r="N281" s="230"/>
      <c r="O281" s="227"/>
    </row>
    <row r="282" spans="2:15" ht="15">
      <c r="B282" s="434" t="s">
        <v>81</v>
      </c>
      <c r="C282" s="424"/>
      <c r="D282" s="176"/>
      <c r="E282" s="176"/>
      <c r="F282" s="198"/>
      <c r="G282" s="150"/>
      <c r="H282" s="150"/>
      <c r="I282" s="150"/>
      <c r="J282" s="150"/>
      <c r="K282" s="230"/>
      <c r="L282" s="230"/>
      <c r="M282" s="230"/>
      <c r="N282" s="230"/>
      <c r="O282" s="227"/>
    </row>
    <row r="283" spans="2:15" ht="15">
      <c r="B283" s="195"/>
      <c r="C283" s="202" t="s">
        <v>209</v>
      </c>
      <c r="D283" s="202"/>
      <c r="E283" s="425"/>
      <c r="F283" s="196">
        <v>10000</v>
      </c>
      <c r="G283" s="150"/>
      <c r="H283" s="150"/>
      <c r="I283" s="150"/>
      <c r="J283" s="150"/>
      <c r="K283" s="230"/>
      <c r="L283" s="230"/>
      <c r="M283" s="230"/>
      <c r="N283" s="230"/>
      <c r="O283" s="227"/>
    </row>
    <row r="284" spans="2:15" ht="15">
      <c r="B284" s="195"/>
      <c r="C284" s="202"/>
      <c r="D284" s="202"/>
      <c r="E284" s="223"/>
      <c r="F284" s="196"/>
      <c r="G284" s="150"/>
      <c r="H284" s="150"/>
      <c r="I284" s="150"/>
      <c r="J284" s="150"/>
      <c r="K284" s="230"/>
      <c r="L284" s="230"/>
      <c r="M284" s="230"/>
      <c r="N284" s="230"/>
      <c r="O284" s="227"/>
    </row>
    <row r="285" spans="2:15" ht="15">
      <c r="B285" s="195"/>
      <c r="C285" s="202" t="s">
        <v>101</v>
      </c>
      <c r="D285" s="202"/>
      <c r="E285" s="223"/>
      <c r="F285" s="196">
        <v>0</v>
      </c>
      <c r="G285" s="150"/>
      <c r="H285" s="150"/>
      <c r="I285" s="150"/>
      <c r="J285" s="150"/>
      <c r="K285" s="230"/>
      <c r="L285" s="230"/>
      <c r="M285" s="230"/>
      <c r="N285" s="230"/>
      <c r="O285" s="227"/>
    </row>
    <row r="286" spans="2:15" ht="15">
      <c r="B286" s="406">
        <f>B275</f>
        <v>42734</v>
      </c>
      <c r="C286" s="241" t="str">
        <f>C275</f>
        <v>Saldo</v>
      </c>
      <c r="D286" s="241"/>
      <c r="E286" s="241"/>
      <c r="F286" s="240">
        <f>'project 2016'!F162</f>
        <v>10000</v>
      </c>
      <c r="G286" s="224"/>
      <c r="H286" s="150"/>
      <c r="I286" s="150"/>
      <c r="J286" s="150"/>
      <c r="K286" s="230"/>
      <c r="L286" s="230"/>
      <c r="M286" s="230"/>
      <c r="N286" s="230"/>
      <c r="O286" s="227"/>
    </row>
    <row r="287" spans="2:15" ht="15">
      <c r="B287" s="450" t="s">
        <v>175</v>
      </c>
      <c r="C287" s="201"/>
      <c r="D287" s="201"/>
      <c r="E287" s="201"/>
      <c r="F287" s="196"/>
      <c r="G287" s="224"/>
      <c r="H287" s="150"/>
      <c r="I287" s="150"/>
      <c r="J287" s="150"/>
      <c r="K287" s="230"/>
      <c r="L287" s="230"/>
      <c r="M287" s="230"/>
      <c r="N287" s="230"/>
      <c r="O287" s="227"/>
    </row>
    <row r="288" spans="2:15" ht="15">
      <c r="B288" s="450">
        <v>42784</v>
      </c>
      <c r="C288" s="201" t="s">
        <v>229</v>
      </c>
      <c r="D288" s="201"/>
      <c r="E288" s="201"/>
      <c r="F288" s="196">
        <v>250</v>
      </c>
      <c r="G288" s="123"/>
      <c r="H288" s="150" t="s">
        <v>330</v>
      </c>
      <c r="I288" s="150"/>
      <c r="J288" s="150"/>
      <c r="K288" s="230"/>
      <c r="L288" s="230"/>
      <c r="M288" s="230"/>
      <c r="N288" s="230"/>
      <c r="O288" s="227"/>
    </row>
    <row r="289" spans="2:15" ht="15">
      <c r="B289" s="450">
        <v>42769</v>
      </c>
      <c r="C289" s="201" t="s">
        <v>249</v>
      </c>
      <c r="D289" s="201"/>
      <c r="E289" s="201"/>
      <c r="F289" s="196">
        <v>62.5</v>
      </c>
      <c r="G289" s="123"/>
      <c r="H289" s="150" t="s">
        <v>330</v>
      </c>
      <c r="I289" s="150"/>
      <c r="J289" s="150"/>
      <c r="K289" s="230"/>
      <c r="L289" s="230"/>
      <c r="M289" s="230"/>
      <c r="N289" s="230"/>
      <c r="O289" s="227"/>
    </row>
    <row r="290" spans="2:15" ht="15">
      <c r="B290" s="450">
        <v>42787</v>
      </c>
      <c r="C290" s="201" t="s">
        <v>233</v>
      </c>
      <c r="D290" s="201"/>
      <c r="E290" s="201"/>
      <c r="F290" s="196">
        <f>-F133</f>
        <v>1884</v>
      </c>
      <c r="G290" s="123"/>
      <c r="H290" s="150" t="s">
        <v>334</v>
      </c>
      <c r="I290" s="150"/>
      <c r="J290" s="150"/>
      <c r="K290" s="230"/>
      <c r="L290" s="230"/>
      <c r="M290" s="230"/>
      <c r="N290" s="230"/>
      <c r="O290" s="227"/>
    </row>
    <row r="291" spans="2:15" ht="15">
      <c r="B291" s="450">
        <v>42787</v>
      </c>
      <c r="C291" s="201" t="s">
        <v>281</v>
      </c>
      <c r="D291" s="241"/>
      <c r="E291" s="201"/>
      <c r="F291" s="196">
        <v>500</v>
      </c>
      <c r="G291" s="123"/>
      <c r="H291" s="150" t="s">
        <v>330</v>
      </c>
      <c r="I291" s="150"/>
      <c r="J291" s="150"/>
      <c r="K291" s="230"/>
      <c r="L291" s="230"/>
      <c r="M291" s="230"/>
      <c r="N291" s="230"/>
      <c r="O291" s="227"/>
    </row>
    <row r="292" spans="2:15" ht="15">
      <c r="B292" s="450">
        <v>42796</v>
      </c>
      <c r="C292" s="201" t="s">
        <v>248</v>
      </c>
      <c r="D292" s="201"/>
      <c r="E292" s="201"/>
      <c r="F292" s="196">
        <v>500</v>
      </c>
      <c r="G292" s="123"/>
      <c r="H292" s="150" t="s">
        <v>330</v>
      </c>
      <c r="I292" s="150"/>
      <c r="J292" s="150"/>
      <c r="K292" s="230"/>
      <c r="L292" s="230"/>
      <c r="M292" s="230"/>
      <c r="N292" s="230"/>
      <c r="O292" s="227"/>
    </row>
    <row r="293" spans="2:15" ht="15">
      <c r="B293" s="450">
        <v>42922</v>
      </c>
      <c r="C293" s="201" t="s">
        <v>259</v>
      </c>
      <c r="D293" s="201"/>
      <c r="E293" s="201"/>
      <c r="F293" s="196">
        <v>600</v>
      </c>
      <c r="G293" s="123"/>
      <c r="H293" s="150" t="s">
        <v>330</v>
      </c>
      <c r="I293" s="150"/>
      <c r="J293" s="150"/>
      <c r="K293" s="230"/>
      <c r="L293" s="230"/>
      <c r="M293" s="230"/>
      <c r="N293" s="230"/>
      <c r="O293" s="227"/>
    </row>
    <row r="294" spans="2:15" ht="15">
      <c r="B294" s="450">
        <v>42934</v>
      </c>
      <c r="C294" s="201" t="s">
        <v>260</v>
      </c>
      <c r="D294" s="201"/>
      <c r="E294" s="201"/>
      <c r="F294" s="196">
        <v>450</v>
      </c>
      <c r="G294" s="123"/>
      <c r="H294" s="220" t="s">
        <v>330</v>
      </c>
      <c r="I294" s="224" t="s">
        <v>346</v>
      </c>
      <c r="J294" s="150"/>
      <c r="K294" s="230"/>
      <c r="L294" s="230"/>
      <c r="M294" s="230"/>
      <c r="N294" s="230"/>
      <c r="O294" s="227"/>
    </row>
    <row r="295" spans="2:15" ht="15">
      <c r="B295" s="450">
        <v>42940</v>
      </c>
      <c r="C295" s="201" t="s">
        <v>258</v>
      </c>
      <c r="D295" s="201"/>
      <c r="E295" s="201"/>
      <c r="F295" s="196">
        <v>500</v>
      </c>
      <c r="G295" s="123"/>
      <c r="H295" s="220" t="s">
        <v>330</v>
      </c>
      <c r="I295" s="150"/>
      <c r="J295" s="150"/>
      <c r="K295" s="230"/>
      <c r="L295" s="230"/>
      <c r="M295" s="230"/>
      <c r="N295" s="230"/>
      <c r="O295" s="227"/>
    </row>
    <row r="296" spans="2:15" ht="22.5">
      <c r="B296" s="450">
        <v>42986</v>
      </c>
      <c r="C296" s="201" t="s">
        <v>347</v>
      </c>
      <c r="D296" s="201"/>
      <c r="E296" s="201"/>
      <c r="F296" s="196">
        <v>2.43</v>
      </c>
      <c r="G296" s="123"/>
      <c r="H296" s="220" t="s">
        <v>330</v>
      </c>
      <c r="I296" s="565" t="s">
        <v>343</v>
      </c>
      <c r="J296" s="565" t="s">
        <v>344</v>
      </c>
      <c r="K296" s="230"/>
      <c r="L296" s="230"/>
      <c r="M296" s="230"/>
      <c r="N296" s="230"/>
      <c r="O296" s="227"/>
    </row>
    <row r="297" spans="2:15" ht="22.5">
      <c r="B297" s="450">
        <v>42998</v>
      </c>
      <c r="C297" s="201" t="s">
        <v>347</v>
      </c>
      <c r="D297" s="201"/>
      <c r="E297" s="201"/>
      <c r="F297" s="196">
        <v>58.35</v>
      </c>
      <c r="G297" s="123"/>
      <c r="H297" s="220" t="s">
        <v>330</v>
      </c>
      <c r="I297" s="565" t="s">
        <v>343</v>
      </c>
      <c r="J297" s="565" t="s">
        <v>345</v>
      </c>
      <c r="K297" s="230"/>
      <c r="L297" s="230"/>
      <c r="M297" s="230"/>
      <c r="N297" s="230"/>
      <c r="O297" s="227"/>
    </row>
    <row r="298" spans="2:15" ht="15">
      <c r="B298" s="450">
        <v>43098</v>
      </c>
      <c r="C298" s="201" t="s">
        <v>288</v>
      </c>
      <c r="D298" s="201"/>
      <c r="E298" s="201"/>
      <c r="F298" s="196">
        <v>5175</v>
      </c>
      <c r="G298" s="123"/>
      <c r="H298" s="220" t="s">
        <v>330</v>
      </c>
      <c r="I298" s="150"/>
      <c r="J298" s="150">
        <f>2.43+58.35</f>
        <v>60.78</v>
      </c>
      <c r="K298" s="230"/>
      <c r="L298" s="230"/>
      <c r="M298" s="230"/>
      <c r="N298" s="230"/>
      <c r="O298" s="227"/>
    </row>
    <row r="299" spans="2:15" ht="15">
      <c r="B299" s="406" t="s">
        <v>268</v>
      </c>
      <c r="C299" s="241"/>
      <c r="D299" s="241"/>
      <c r="E299" s="241"/>
      <c r="F299" s="240">
        <f>SUM(F288:F298)</f>
        <v>9982.28</v>
      </c>
      <c r="G299" s="224"/>
      <c r="H299" s="150"/>
      <c r="K299" s="230"/>
      <c r="L299" s="230"/>
      <c r="M299" s="230"/>
      <c r="N299" s="230"/>
      <c r="O299" s="227"/>
    </row>
    <row r="300" spans="2:15" ht="15">
      <c r="B300" s="406" t="s">
        <v>219</v>
      </c>
      <c r="C300" s="241"/>
      <c r="D300" s="241"/>
      <c r="E300" s="241"/>
      <c r="F300" s="240">
        <f>F286+F299</f>
        <v>19982.28</v>
      </c>
      <c r="G300" s="224"/>
      <c r="H300" s="150"/>
      <c r="K300" s="230"/>
      <c r="L300" s="230"/>
      <c r="M300" s="230"/>
      <c r="N300" s="230"/>
      <c r="O300" s="227"/>
    </row>
    <row r="301" spans="2:15" ht="15">
      <c r="B301" s="450" t="s">
        <v>176</v>
      </c>
      <c r="C301" s="201"/>
      <c r="D301" s="201"/>
      <c r="E301" s="201"/>
      <c r="F301" s="196"/>
      <c r="G301" s="224"/>
      <c r="H301" s="150"/>
      <c r="I301" s="150"/>
      <c r="J301" s="150"/>
      <c r="K301" s="230"/>
      <c r="L301" s="230"/>
      <c r="M301" s="230"/>
      <c r="N301" s="230"/>
      <c r="O301" s="227"/>
    </row>
    <row r="302" spans="2:15" ht="15">
      <c r="B302" s="450">
        <v>42839</v>
      </c>
      <c r="C302" s="201" t="s">
        <v>245</v>
      </c>
      <c r="D302" s="201"/>
      <c r="E302" s="201"/>
      <c r="F302" s="196">
        <v>-11.97</v>
      </c>
      <c r="G302" s="123"/>
      <c r="H302" s="261" t="s">
        <v>351</v>
      </c>
      <c r="I302" s="123" t="s">
        <v>356</v>
      </c>
      <c r="J302" s="150" t="s">
        <v>358</v>
      </c>
      <c r="K302" s="230"/>
      <c r="L302" s="230"/>
      <c r="M302" s="230"/>
      <c r="N302" s="230"/>
      <c r="O302" s="227"/>
    </row>
    <row r="303" spans="2:15" ht="15">
      <c r="B303" s="450">
        <v>42839</v>
      </c>
      <c r="C303" s="201" t="s">
        <v>246</v>
      </c>
      <c r="D303" s="201"/>
      <c r="E303" s="201"/>
      <c r="F303" s="196">
        <v>-124.06</v>
      </c>
      <c r="G303" s="123"/>
      <c r="H303" s="261" t="s">
        <v>351</v>
      </c>
      <c r="I303" s="123" t="s">
        <v>359</v>
      </c>
      <c r="J303" s="150" t="s">
        <v>357</v>
      </c>
      <c r="K303" s="230"/>
      <c r="L303" s="230"/>
      <c r="M303" s="230"/>
      <c r="N303" s="230"/>
      <c r="O303" s="227"/>
    </row>
    <row r="304" spans="2:15" ht="15">
      <c r="B304" s="450">
        <v>42840</v>
      </c>
      <c r="C304" s="201" t="s">
        <v>247</v>
      </c>
      <c r="D304" s="201"/>
      <c r="E304" s="201"/>
      <c r="F304" s="196">
        <v>-231.8</v>
      </c>
      <c r="G304" s="123"/>
      <c r="H304" s="261" t="s">
        <v>351</v>
      </c>
      <c r="I304" s="123" t="s">
        <v>357</v>
      </c>
      <c r="J304" s="150" t="s">
        <v>357</v>
      </c>
      <c r="K304" s="230"/>
      <c r="L304" s="230"/>
      <c r="M304" s="230"/>
      <c r="N304" s="230"/>
      <c r="O304" s="227"/>
    </row>
    <row r="305" spans="2:15" ht="15">
      <c r="B305" s="450">
        <v>42874</v>
      </c>
      <c r="C305" s="201" t="s">
        <v>250</v>
      </c>
      <c r="D305" s="201"/>
      <c r="E305" s="201"/>
      <c r="F305" s="196">
        <v>-2650</v>
      </c>
      <c r="G305" s="123"/>
      <c r="H305" s="224" t="s">
        <v>339</v>
      </c>
      <c r="I305" s="150"/>
      <c r="J305" s="150"/>
      <c r="K305" s="230"/>
      <c r="L305" s="230"/>
      <c r="M305" s="230"/>
      <c r="N305" s="230"/>
      <c r="O305" s="227"/>
    </row>
    <row r="306" spans="2:15" ht="15">
      <c r="B306" s="450">
        <v>42874</v>
      </c>
      <c r="C306" s="201" t="s">
        <v>251</v>
      </c>
      <c r="D306" s="201"/>
      <c r="E306" s="201"/>
      <c r="F306" s="196">
        <v>-250</v>
      </c>
      <c r="G306" s="123"/>
      <c r="H306" s="224" t="s">
        <v>340</v>
      </c>
      <c r="I306" s="150"/>
      <c r="J306" s="150"/>
      <c r="K306" s="230"/>
      <c r="L306" s="230"/>
      <c r="M306" s="230"/>
      <c r="N306" s="230"/>
      <c r="O306" s="227"/>
    </row>
    <row r="307" spans="2:15" ht="15">
      <c r="B307" s="450">
        <v>42912</v>
      </c>
      <c r="C307" s="201" t="s">
        <v>255</v>
      </c>
      <c r="D307" s="201"/>
      <c r="E307" s="201"/>
      <c r="F307" s="196">
        <v>-1280.19</v>
      </c>
      <c r="G307" s="123"/>
      <c r="H307" s="224" t="s">
        <v>340</v>
      </c>
      <c r="I307" s="150"/>
      <c r="J307" s="150"/>
      <c r="K307" s="601"/>
      <c r="L307" s="230"/>
      <c r="O307" s="227"/>
    </row>
    <row r="308" spans="2:15" ht="15">
      <c r="B308" s="450">
        <v>42912</v>
      </c>
      <c r="C308" s="201" t="s">
        <v>250</v>
      </c>
      <c r="D308" s="201"/>
      <c r="E308" s="201"/>
      <c r="F308" s="196">
        <v>-5300</v>
      </c>
      <c r="G308" s="123"/>
      <c r="H308" s="224" t="s">
        <v>340</v>
      </c>
      <c r="I308" s="150"/>
      <c r="J308" s="150"/>
      <c r="K308" s="230"/>
      <c r="L308" s="230"/>
      <c r="M308" s="230"/>
      <c r="N308" s="230"/>
      <c r="O308" s="227"/>
    </row>
    <row r="309" spans="2:15" ht="15">
      <c r="B309" s="450">
        <v>42928</v>
      </c>
      <c r="C309" s="201" t="s">
        <v>261</v>
      </c>
      <c r="D309" s="201"/>
      <c r="E309" s="201"/>
      <c r="F309" s="196">
        <v>-2650</v>
      </c>
      <c r="G309" s="123"/>
      <c r="H309" s="261" t="s">
        <v>351</v>
      </c>
      <c r="I309" s="123" t="s">
        <v>355</v>
      </c>
      <c r="J309" s="150"/>
      <c r="K309" s="601"/>
      <c r="L309" s="230"/>
      <c r="O309" s="227"/>
    </row>
    <row r="310" spans="2:15" ht="15">
      <c r="B310" s="450">
        <v>42997</v>
      </c>
      <c r="C310" s="201" t="s">
        <v>270</v>
      </c>
      <c r="D310" s="201"/>
      <c r="E310" s="201"/>
      <c r="F310" s="196">
        <v>-368</v>
      </c>
      <c r="G310" s="123"/>
      <c r="H310" s="220" t="s">
        <v>340</v>
      </c>
      <c r="I310" s="150"/>
      <c r="J310" s="150"/>
      <c r="K310" s="230"/>
      <c r="L310" s="230"/>
      <c r="M310" s="230"/>
      <c r="N310" s="230"/>
      <c r="O310" s="227"/>
    </row>
    <row r="311" spans="2:15" ht="15">
      <c r="B311" s="450">
        <v>42997</v>
      </c>
      <c r="C311" s="201" t="s">
        <v>269</v>
      </c>
      <c r="D311" s="201"/>
      <c r="E311" s="201"/>
      <c r="F311" s="196">
        <v>-187.5</v>
      </c>
      <c r="G311" s="123"/>
      <c r="H311" s="220" t="s">
        <v>340</v>
      </c>
      <c r="I311" s="150"/>
      <c r="J311" s="150"/>
      <c r="K311" s="230"/>
      <c r="L311" s="230"/>
      <c r="O311" s="227"/>
    </row>
    <row r="312" spans="2:15" ht="15">
      <c r="B312" s="450">
        <v>43024</v>
      </c>
      <c r="C312" s="201" t="s">
        <v>271</v>
      </c>
      <c r="D312" s="201"/>
      <c r="E312" s="201"/>
      <c r="F312" s="196">
        <v>-163.35</v>
      </c>
      <c r="G312" s="123"/>
      <c r="H312" s="220" t="s">
        <v>340</v>
      </c>
      <c r="I312" s="150"/>
      <c r="J312" s="150"/>
      <c r="K312" s="601"/>
      <c r="L312" s="230"/>
      <c r="O312" s="227"/>
    </row>
    <row r="313" spans="2:15" ht="15">
      <c r="B313" s="450">
        <v>43024</v>
      </c>
      <c r="C313" s="201" t="s">
        <v>272</v>
      </c>
      <c r="D313" s="201"/>
      <c r="E313" s="201"/>
      <c r="F313" s="196">
        <v>-136</v>
      </c>
      <c r="G313" s="123"/>
      <c r="H313" s="220" t="s">
        <v>340</v>
      </c>
      <c r="I313" s="150"/>
      <c r="J313" s="150"/>
      <c r="K313" s="601"/>
      <c r="L313" s="230"/>
      <c r="O313" s="227"/>
    </row>
    <row r="314" spans="2:15" ht="15">
      <c r="B314" s="450">
        <v>43024</v>
      </c>
      <c r="C314" s="201" t="s">
        <v>273</v>
      </c>
      <c r="D314" s="201"/>
      <c r="E314" s="201"/>
      <c r="F314" s="196">
        <v>-31.57</v>
      </c>
      <c r="G314" s="123"/>
      <c r="H314" s="220" t="s">
        <v>340</v>
      </c>
      <c r="I314" s="150"/>
      <c r="J314" s="150"/>
      <c r="K314" s="601"/>
      <c r="L314" s="230"/>
      <c r="O314" s="227"/>
    </row>
    <row r="315" spans="2:15" ht="15">
      <c r="B315" s="450">
        <v>43024</v>
      </c>
      <c r="C315" s="201" t="s">
        <v>276</v>
      </c>
      <c r="D315" s="201"/>
      <c r="E315" s="201"/>
      <c r="F315" s="196">
        <v>-544.5</v>
      </c>
      <c r="G315" s="123"/>
      <c r="H315" s="220" t="s">
        <v>340</v>
      </c>
      <c r="I315" s="150"/>
      <c r="J315" s="150"/>
      <c r="K315" s="601"/>
      <c r="L315" s="230"/>
      <c r="O315" s="227"/>
    </row>
    <row r="316" spans="2:15" ht="15">
      <c r="B316" s="450">
        <v>43024</v>
      </c>
      <c r="C316" s="201" t="s">
        <v>277</v>
      </c>
      <c r="D316" s="201"/>
      <c r="E316" s="201"/>
      <c r="F316" s="196">
        <v>-70.45</v>
      </c>
      <c r="G316" s="123"/>
      <c r="H316" s="220" t="s">
        <v>340</v>
      </c>
      <c r="I316" s="150"/>
      <c r="J316" s="150"/>
      <c r="K316" s="230"/>
      <c r="L316" s="230"/>
      <c r="M316" s="230"/>
      <c r="N316" s="230"/>
      <c r="O316" s="227"/>
    </row>
    <row r="317" spans="2:15" ht="17.25">
      <c r="B317" s="450">
        <v>43024</v>
      </c>
      <c r="C317" s="201" t="s">
        <v>278</v>
      </c>
      <c r="D317" s="201"/>
      <c r="E317" s="201"/>
      <c r="F317" s="196">
        <v>-149.74</v>
      </c>
      <c r="G317" s="123"/>
      <c r="H317" s="220" t="s">
        <v>340</v>
      </c>
      <c r="I317" s="150"/>
      <c r="J317" s="150"/>
      <c r="K317" s="230"/>
      <c r="L317" s="230"/>
      <c r="M317" s="230"/>
      <c r="N317" s="230"/>
      <c r="O317" s="602"/>
    </row>
    <row r="318" spans="2:15" ht="15">
      <c r="B318" s="450">
        <v>43024</v>
      </c>
      <c r="C318" s="201" t="s">
        <v>279</v>
      </c>
      <c r="D318" s="201"/>
      <c r="E318" s="201"/>
      <c r="F318" s="196">
        <v>-93.7</v>
      </c>
      <c r="G318" s="123"/>
      <c r="H318" s="220" t="s">
        <v>340</v>
      </c>
      <c r="I318" s="150"/>
      <c r="J318" s="150"/>
      <c r="K318" s="225"/>
      <c r="L318" s="225"/>
      <c r="M318" s="225"/>
      <c r="N318" s="603"/>
      <c r="O318" s="225"/>
    </row>
    <row r="319" spans="2:15" ht="15">
      <c r="B319" s="450">
        <v>43038</v>
      </c>
      <c r="C319" s="201" t="s">
        <v>280</v>
      </c>
      <c r="D319" s="201"/>
      <c r="E319" s="201"/>
      <c r="F319" s="196">
        <v>-91</v>
      </c>
      <c r="G319" s="123"/>
      <c r="H319" s="220" t="s">
        <v>340</v>
      </c>
      <c r="I319" s="150"/>
      <c r="J319" s="150"/>
      <c r="K319" s="227"/>
      <c r="L319" s="227"/>
      <c r="M319" s="227"/>
      <c r="N319" s="227"/>
      <c r="O319" s="227"/>
    </row>
    <row r="320" spans="2:12" ht="15">
      <c r="B320" s="450">
        <v>43058</v>
      </c>
      <c r="C320" s="201" t="s">
        <v>251</v>
      </c>
      <c r="D320" s="201"/>
      <c r="E320" s="201"/>
      <c r="F320" s="196">
        <v>-250</v>
      </c>
      <c r="G320" s="123"/>
      <c r="H320" s="569" t="s">
        <v>351</v>
      </c>
      <c r="I320" s="123" t="s">
        <v>355</v>
      </c>
      <c r="J320" s="150"/>
      <c r="K320" s="473"/>
      <c r="L320" s="473"/>
    </row>
    <row r="321" spans="2:15" ht="15">
      <c r="B321" s="450">
        <v>43064</v>
      </c>
      <c r="C321" s="201" t="s">
        <v>283</v>
      </c>
      <c r="D321" s="201"/>
      <c r="E321" s="201"/>
      <c r="F321" s="196">
        <v>-57.62</v>
      </c>
      <c r="G321" s="123"/>
      <c r="H321" s="189" t="s">
        <v>351</v>
      </c>
      <c r="I321" s="123" t="s">
        <v>355</v>
      </c>
      <c r="J321" s="122"/>
      <c r="L321" s="229"/>
      <c r="M321" s="229"/>
      <c r="N321" s="604"/>
      <c r="O321" s="227"/>
    </row>
    <row r="322" spans="2:15" ht="15">
      <c r="B322" s="450">
        <v>43076</v>
      </c>
      <c r="C322" s="201" t="s">
        <v>284</v>
      </c>
      <c r="D322" s="201"/>
      <c r="E322" s="201"/>
      <c r="F322" s="196">
        <v>-1454.75</v>
      </c>
      <c r="G322" s="123"/>
      <c r="H322" s="189" t="s">
        <v>351</v>
      </c>
      <c r="I322" s="123" t="s">
        <v>355</v>
      </c>
      <c r="J322" s="150"/>
      <c r="L322" s="229"/>
      <c r="M322" s="229"/>
      <c r="N322" s="227"/>
      <c r="O322" s="227"/>
    </row>
    <row r="323" spans="2:15" ht="15">
      <c r="B323" s="450">
        <v>43081</v>
      </c>
      <c r="C323" s="201" t="s">
        <v>286</v>
      </c>
      <c r="D323" s="201"/>
      <c r="E323" s="201"/>
      <c r="F323" s="196">
        <v>-2375</v>
      </c>
      <c r="G323" s="123"/>
      <c r="H323" s="189" t="s">
        <v>351</v>
      </c>
      <c r="I323" s="123" t="s">
        <v>355</v>
      </c>
      <c r="J323" s="150"/>
      <c r="L323" s="229"/>
      <c r="M323" s="229"/>
      <c r="N323" s="227"/>
      <c r="O323" s="227"/>
    </row>
    <row r="324" spans="2:15" ht="15">
      <c r="B324" s="450">
        <v>43082</v>
      </c>
      <c r="C324" s="201" t="s">
        <v>287</v>
      </c>
      <c r="D324" s="201"/>
      <c r="E324" s="201"/>
      <c r="F324" s="196">
        <v>-134.75</v>
      </c>
      <c r="G324" s="123"/>
      <c r="H324" s="189" t="s">
        <v>351</v>
      </c>
      <c r="I324" s="123" t="s">
        <v>355</v>
      </c>
      <c r="J324" s="150"/>
      <c r="K324" s="230"/>
      <c r="L324" s="230"/>
      <c r="M324" s="230"/>
      <c r="N324" s="230"/>
      <c r="O324" s="227"/>
    </row>
    <row r="325" spans="2:15" ht="15">
      <c r="B325" s="450"/>
      <c r="C325" s="201"/>
      <c r="D325" s="201"/>
      <c r="E325" s="201"/>
      <c r="F325" s="196"/>
      <c r="G325" s="224"/>
      <c r="H325" s="150"/>
      <c r="I325" s="150"/>
      <c r="J325" s="150"/>
      <c r="K325" s="230"/>
      <c r="L325" s="230"/>
      <c r="M325" s="230"/>
      <c r="N325" s="230"/>
      <c r="O325" s="227"/>
    </row>
    <row r="326" spans="2:15" ht="15">
      <c r="B326" s="406" t="s">
        <v>307</v>
      </c>
      <c r="C326" s="241"/>
      <c r="D326" s="241"/>
      <c r="E326" s="241"/>
      <c r="F326" s="240">
        <f>SUM(F302:F324)</f>
        <v>-18605.950000000004</v>
      </c>
      <c r="G326" s="224"/>
      <c r="H326" s="150"/>
      <c r="I326" s="150"/>
      <c r="J326" s="122"/>
      <c r="K326" s="230"/>
      <c r="L326" s="230"/>
      <c r="M326" s="230"/>
      <c r="N326" s="230"/>
      <c r="O326" s="227"/>
    </row>
    <row r="327" spans="2:15" ht="15">
      <c r="B327" s="450"/>
      <c r="C327" s="201"/>
      <c r="D327" s="201"/>
      <c r="E327" s="201"/>
      <c r="F327" s="196"/>
      <c r="G327" s="224"/>
      <c r="H327" s="150"/>
      <c r="I327" s="150"/>
      <c r="J327" s="122"/>
      <c r="K327" s="230"/>
      <c r="L327" s="230"/>
      <c r="M327" s="230"/>
      <c r="N327" s="230"/>
      <c r="O327" s="227"/>
    </row>
    <row r="328" spans="2:15" ht="15">
      <c r="B328" s="119">
        <v>43100</v>
      </c>
      <c r="C328" s="262" t="s">
        <v>2</v>
      </c>
      <c r="D328" s="262"/>
      <c r="E328" s="262"/>
      <c r="F328" s="173">
        <f>F300+F326</f>
        <v>1376.3299999999945</v>
      </c>
      <c r="G328" s="194"/>
      <c r="H328" s="150"/>
      <c r="I328" s="150"/>
      <c r="J328" s="122"/>
      <c r="K328" s="230"/>
      <c r="L328" s="230"/>
      <c r="M328" s="230"/>
      <c r="N328" s="230"/>
      <c r="O328" s="227"/>
    </row>
    <row r="329" spans="2:15" ht="15">
      <c r="B329" s="427"/>
      <c r="C329" s="471" t="s">
        <v>362</v>
      </c>
      <c r="D329" s="471"/>
      <c r="E329" s="471"/>
      <c r="F329" s="193"/>
      <c r="G329" s="194"/>
      <c r="H329" s="150"/>
      <c r="I329" s="150"/>
      <c r="J329" s="122"/>
      <c r="K329" s="230"/>
      <c r="L329" s="230"/>
      <c r="M329" s="230"/>
      <c r="N329" s="230"/>
      <c r="O329" s="227"/>
    </row>
    <row r="330" spans="2:15" ht="15">
      <c r="B330" s="427">
        <v>43109</v>
      </c>
      <c r="C330" s="471" t="s">
        <v>367</v>
      </c>
      <c r="D330" s="471"/>
      <c r="E330" s="471"/>
      <c r="F330" s="193">
        <v>-945.01</v>
      </c>
      <c r="G330" s="194"/>
      <c r="H330" s="224" t="s">
        <v>379</v>
      </c>
      <c r="I330" s="150"/>
      <c r="J330" s="150"/>
      <c r="K330" s="230"/>
      <c r="L330" s="230"/>
      <c r="M330" s="230"/>
      <c r="N330" s="230"/>
      <c r="O330" s="227"/>
    </row>
    <row r="331" spans="2:15" ht="15">
      <c r="B331" s="427">
        <v>43122</v>
      </c>
      <c r="C331" s="471" t="s">
        <v>371</v>
      </c>
      <c r="D331" s="471"/>
      <c r="E331" s="471"/>
      <c r="F331" s="193">
        <v>-199.65</v>
      </c>
      <c r="G331" s="194"/>
      <c r="H331" s="224" t="s">
        <v>377</v>
      </c>
      <c r="I331" s="150"/>
      <c r="J331" s="150"/>
      <c r="K331" s="230"/>
      <c r="L331" s="230"/>
      <c r="M331" s="230"/>
      <c r="N331" s="230"/>
      <c r="O331" s="227"/>
    </row>
    <row r="332" spans="2:15" ht="15">
      <c r="B332" s="427">
        <v>43166</v>
      </c>
      <c r="C332" s="471" t="s">
        <v>368</v>
      </c>
      <c r="D332" s="471"/>
      <c r="E332" s="471"/>
      <c r="F332" s="193">
        <v>-1564.6</v>
      </c>
      <c r="G332" s="194"/>
      <c r="H332" s="224" t="s">
        <v>378</v>
      </c>
      <c r="I332" s="150"/>
      <c r="J332" s="150"/>
      <c r="K332" s="230"/>
      <c r="L332" s="230"/>
      <c r="M332" s="230"/>
      <c r="N332" s="230"/>
      <c r="O332" s="227"/>
    </row>
    <row r="333" spans="2:15" ht="15">
      <c r="B333" s="427">
        <v>43234</v>
      </c>
      <c r="C333" s="471" t="s">
        <v>382</v>
      </c>
      <c r="D333" s="471"/>
      <c r="E333" s="471"/>
      <c r="F333" s="193">
        <v>-504.56</v>
      </c>
      <c r="G333" s="194"/>
      <c r="H333" s="224" t="s">
        <v>378</v>
      </c>
      <c r="I333" s="150"/>
      <c r="J333" s="150"/>
      <c r="K333" s="230"/>
      <c r="L333" s="230"/>
      <c r="M333" s="230"/>
      <c r="N333" s="230"/>
      <c r="O333" s="227"/>
    </row>
    <row r="334" spans="2:15" ht="15">
      <c r="B334" s="427">
        <v>43286</v>
      </c>
      <c r="C334" s="471" t="s">
        <v>387</v>
      </c>
      <c r="D334" s="471"/>
      <c r="E334" s="471"/>
      <c r="F334" s="193">
        <v>-693.87</v>
      </c>
      <c r="G334" s="194"/>
      <c r="H334" s="224" t="s">
        <v>404</v>
      </c>
      <c r="I334" s="150"/>
      <c r="J334" s="150"/>
      <c r="K334" s="230"/>
      <c r="L334" s="230"/>
      <c r="M334" s="230"/>
      <c r="N334" s="230"/>
      <c r="O334" s="227"/>
    </row>
    <row r="335" spans="2:15" ht="15">
      <c r="B335" s="427">
        <v>43382</v>
      </c>
      <c r="C335" s="471" t="s">
        <v>398</v>
      </c>
      <c r="D335" s="471"/>
      <c r="E335" s="471"/>
      <c r="F335" s="193">
        <v>-250</v>
      </c>
      <c r="G335" s="194"/>
      <c r="H335" s="224" t="s">
        <v>377</v>
      </c>
      <c r="I335" s="150"/>
      <c r="J335" s="150"/>
      <c r="K335" s="230"/>
      <c r="L335" s="230"/>
      <c r="M335" s="230"/>
      <c r="N335" s="230"/>
      <c r="O335" s="227"/>
    </row>
    <row r="336" spans="2:15" ht="15">
      <c r="B336" s="427">
        <v>43443</v>
      </c>
      <c r="C336" s="471" t="s">
        <v>405</v>
      </c>
      <c r="D336" s="471"/>
      <c r="E336" s="471"/>
      <c r="F336" s="193">
        <f>-5799.99</f>
        <v>-5799.99</v>
      </c>
      <c r="G336" s="194"/>
      <c r="H336" s="150"/>
      <c r="I336" s="150"/>
      <c r="J336" s="150"/>
      <c r="K336" s="230"/>
      <c r="L336" s="230"/>
      <c r="M336" s="230"/>
      <c r="N336" s="230"/>
      <c r="O336" s="227"/>
    </row>
    <row r="337" spans="2:15" ht="15">
      <c r="B337" s="427">
        <v>43447</v>
      </c>
      <c r="C337" s="471" t="s">
        <v>406</v>
      </c>
      <c r="D337" s="471"/>
      <c r="E337" s="471"/>
      <c r="F337" s="193">
        <v>-3000</v>
      </c>
      <c r="G337" s="194"/>
      <c r="H337" s="224" t="s">
        <v>407</v>
      </c>
      <c r="I337" s="150"/>
      <c r="J337" s="150"/>
      <c r="K337" s="230"/>
      <c r="L337" s="230"/>
      <c r="M337" s="230"/>
      <c r="N337" s="230"/>
      <c r="O337" s="227"/>
    </row>
    <row r="338" spans="2:15" ht="15">
      <c r="B338" s="427"/>
      <c r="C338" s="471"/>
      <c r="D338" s="471"/>
      <c r="E338" s="471"/>
      <c r="F338" s="193"/>
      <c r="G338" s="194"/>
      <c r="H338" s="150"/>
      <c r="I338" s="150"/>
      <c r="J338" s="150"/>
      <c r="K338" s="230"/>
      <c r="L338" s="230"/>
      <c r="M338" s="230"/>
      <c r="N338" s="230"/>
      <c r="O338" s="227"/>
    </row>
    <row r="339" spans="2:15" ht="15.75" thickBot="1">
      <c r="B339" s="427"/>
      <c r="C339" s="471" t="s">
        <v>364</v>
      </c>
      <c r="D339" s="471"/>
      <c r="E339" s="471"/>
      <c r="F339" s="193">
        <f>SUM(F329:F338)</f>
        <v>-12957.68</v>
      </c>
      <c r="G339" s="194"/>
      <c r="H339" s="150"/>
      <c r="I339" s="150"/>
      <c r="J339" s="224" t="s">
        <v>384</v>
      </c>
      <c r="K339" s="230"/>
      <c r="L339" s="230"/>
      <c r="M339" s="230"/>
      <c r="N339" s="230"/>
      <c r="O339" s="227"/>
    </row>
    <row r="340" spans="2:15" ht="15">
      <c r="B340" s="596"/>
      <c r="C340" s="597" t="s">
        <v>363</v>
      </c>
      <c r="D340" s="597"/>
      <c r="E340" s="597"/>
      <c r="F340" s="598"/>
      <c r="G340" s="194"/>
      <c r="H340" s="150"/>
      <c r="I340" s="150"/>
      <c r="J340" s="235">
        <f>F345+F299+F286</f>
        <v>27933.050000000003</v>
      </c>
      <c r="K340" s="230" t="s">
        <v>385</v>
      </c>
      <c r="L340" s="230"/>
      <c r="M340" s="230"/>
      <c r="N340" s="230"/>
      <c r="O340" s="227"/>
    </row>
    <row r="341" spans="2:15" ht="15">
      <c r="B341" s="427">
        <v>42759</v>
      </c>
      <c r="C341" s="471" t="s">
        <v>370</v>
      </c>
      <c r="D341" s="471"/>
      <c r="E341" s="471"/>
      <c r="F341" s="193">
        <v>7120</v>
      </c>
      <c r="G341" s="194"/>
      <c r="H341" s="224" t="s">
        <v>376</v>
      </c>
      <c r="I341" s="150"/>
      <c r="J341" s="235">
        <f>F339+F326</f>
        <v>-31563.630000000005</v>
      </c>
      <c r="K341" s="230" t="s">
        <v>386</v>
      </c>
      <c r="L341" s="230"/>
      <c r="M341" s="230"/>
      <c r="N341" s="230"/>
      <c r="O341" s="227"/>
    </row>
    <row r="342" spans="2:15" ht="15">
      <c r="B342" s="427">
        <f>B19</f>
        <v>43442</v>
      </c>
      <c r="C342" s="427" t="str">
        <f>C19</f>
        <v>overheveling saldo 25 jarig bstaan/tuin</v>
      </c>
      <c r="D342" s="427"/>
      <c r="E342" s="427"/>
      <c r="F342" s="607">
        <f>-F19</f>
        <v>232.6</v>
      </c>
      <c r="G342" s="194"/>
      <c r="H342" s="224" t="s">
        <v>376</v>
      </c>
      <c r="I342" s="150"/>
      <c r="J342" s="235"/>
      <c r="K342" s="230"/>
      <c r="L342" s="230"/>
      <c r="M342" s="230"/>
      <c r="N342" s="230"/>
      <c r="O342" s="227"/>
    </row>
    <row r="343" spans="2:15" ht="15">
      <c r="B343" s="427">
        <f>B38</f>
        <v>43442</v>
      </c>
      <c r="C343" s="471" t="str">
        <f>C38</f>
        <v>overheveling saldo 25 jarig best. Tuin</v>
      </c>
      <c r="D343" s="471"/>
      <c r="E343" s="471"/>
      <c r="F343" s="193">
        <f>-F38</f>
        <v>598.17</v>
      </c>
      <c r="G343" s="194"/>
      <c r="H343" s="224" t="s">
        <v>376</v>
      </c>
      <c r="I343" s="150"/>
      <c r="J343" s="235"/>
      <c r="K343" s="230"/>
      <c r="L343" s="230"/>
      <c r="M343" s="230"/>
      <c r="N343" s="230"/>
      <c r="O343" s="227"/>
    </row>
    <row r="344" spans="2:15" ht="15">
      <c r="B344" s="427"/>
      <c r="C344" s="471"/>
      <c r="D344" s="471"/>
      <c r="E344" s="471"/>
      <c r="F344" s="193"/>
      <c r="G344" s="194"/>
      <c r="H344" s="150"/>
      <c r="I344" s="150"/>
      <c r="J344" s="235">
        <f>J340+J341</f>
        <v>-3630.5800000000017</v>
      </c>
      <c r="K344" s="230" t="s">
        <v>84</v>
      </c>
      <c r="L344" s="230"/>
      <c r="M344" s="230"/>
      <c r="N344" s="230"/>
      <c r="O344" s="230"/>
    </row>
    <row r="345" spans="2:15" ht="15.75" thickBot="1">
      <c r="B345" s="599"/>
      <c r="C345" s="600" t="s">
        <v>365</v>
      </c>
      <c r="D345" s="600"/>
      <c r="E345" s="600"/>
      <c r="F345" s="85">
        <f>SUM(F340:F344)</f>
        <v>7950.77</v>
      </c>
      <c r="G345" s="194"/>
      <c r="H345" s="150"/>
      <c r="I345" s="150"/>
      <c r="J345" s="150"/>
      <c r="K345" s="230"/>
      <c r="L345" s="230"/>
      <c r="M345" s="230"/>
      <c r="N345" s="230"/>
      <c r="O345" s="227"/>
    </row>
    <row r="346" spans="2:15" ht="15.75" thickBot="1">
      <c r="B346" s="574">
        <f>B2</f>
        <v>43830</v>
      </c>
      <c r="C346" s="575" t="s">
        <v>2</v>
      </c>
      <c r="D346" s="575"/>
      <c r="E346" s="575"/>
      <c r="F346" s="576">
        <f>F328+F339+F345</f>
        <v>-3630.5800000000054</v>
      </c>
      <c r="G346" s="194"/>
      <c r="H346" s="235"/>
      <c r="I346" s="150"/>
      <c r="J346" s="150"/>
      <c r="K346" s="230"/>
      <c r="L346" s="230"/>
      <c r="M346" s="230"/>
      <c r="N346" s="230"/>
      <c r="O346" s="227"/>
    </row>
    <row r="347" spans="2:15" ht="15">
      <c r="B347" s="571"/>
      <c r="C347" s="571"/>
      <c r="D347" s="571"/>
      <c r="E347" s="571"/>
      <c r="F347" s="660"/>
      <c r="G347" s="194"/>
      <c r="H347" s="235"/>
      <c r="I347" s="150"/>
      <c r="J347" s="150"/>
      <c r="K347" s="230"/>
      <c r="L347" s="230"/>
      <c r="M347" s="230"/>
      <c r="N347" s="230"/>
      <c r="O347" s="227"/>
    </row>
    <row r="348" spans="2:15" ht="15">
      <c r="B348" s="571"/>
      <c r="C348" s="571"/>
      <c r="D348" s="571"/>
      <c r="E348" s="571"/>
      <c r="F348" s="660"/>
      <c r="G348" s="194"/>
      <c r="H348" s="235"/>
      <c r="I348" s="150"/>
      <c r="J348" s="150"/>
      <c r="K348" s="230"/>
      <c r="L348" s="230"/>
      <c r="M348" s="230"/>
      <c r="N348" s="230"/>
      <c r="O348" s="227"/>
    </row>
    <row r="349" spans="2:15" ht="15">
      <c r="B349" s="24"/>
      <c r="C349" s="24"/>
      <c r="D349" s="24"/>
      <c r="E349" s="24"/>
      <c r="F349" s="24"/>
      <c r="G349" s="150"/>
      <c r="H349" s="150"/>
      <c r="I349" s="150"/>
      <c r="J349" s="150"/>
      <c r="K349" s="230"/>
      <c r="L349" s="230"/>
      <c r="M349" s="230"/>
      <c r="N349" s="230"/>
      <c r="O349" s="227"/>
    </row>
    <row r="350" spans="1:15" ht="15.75" thickBot="1">
      <c r="A350" s="150"/>
      <c r="B350" s="228"/>
      <c r="C350" s="229"/>
      <c r="D350" s="229"/>
      <c r="E350" s="227"/>
      <c r="F350" s="227"/>
      <c r="G350" s="150"/>
      <c r="H350" s="150"/>
      <c r="I350" s="150"/>
      <c r="J350" s="150"/>
      <c r="K350" s="230"/>
      <c r="L350" s="230"/>
      <c r="M350" s="230"/>
      <c r="N350" s="230"/>
      <c r="O350" s="227"/>
    </row>
    <row r="351" spans="1:15" ht="15">
      <c r="A351" s="122"/>
      <c r="B351" s="255" t="s">
        <v>226</v>
      </c>
      <c r="C351" s="203"/>
      <c r="D351" s="203"/>
      <c r="E351" s="447" t="s">
        <v>141</v>
      </c>
      <c r="F351" s="444"/>
      <c r="G351" s="150"/>
      <c r="H351" s="150"/>
      <c r="I351" s="150"/>
      <c r="J351" s="150"/>
      <c r="K351" s="230"/>
      <c r="L351" s="230"/>
      <c r="M351" s="230"/>
      <c r="N351" s="230"/>
      <c r="O351" s="227"/>
    </row>
    <row r="352" spans="2:15" ht="21">
      <c r="B352" s="26"/>
      <c r="C352" s="24"/>
      <c r="D352" s="24"/>
      <c r="E352" s="24"/>
      <c r="F352" s="58"/>
      <c r="H352" s="150"/>
      <c r="I352" s="150"/>
      <c r="J352" s="150"/>
      <c r="K352" s="605"/>
      <c r="L352" s="605"/>
      <c r="M352" s="605"/>
      <c r="N352" s="605"/>
      <c r="O352" s="606"/>
    </row>
    <row r="353" spans="2:10" ht="15">
      <c r="B353" s="477">
        <v>42760</v>
      </c>
      <c r="C353" s="449" t="s">
        <v>222</v>
      </c>
      <c r="D353" s="449"/>
      <c r="E353" s="449"/>
      <c r="F353" s="196">
        <v>2000</v>
      </c>
      <c r="G353" s="108"/>
      <c r="H353" s="150" t="s">
        <v>330</v>
      </c>
      <c r="I353" s="150"/>
      <c r="J353" s="150"/>
    </row>
    <row r="354" spans="2:10" ht="12.75">
      <c r="B354" s="26"/>
      <c r="C354" s="24"/>
      <c r="D354" s="24"/>
      <c r="E354" s="24"/>
      <c r="F354" s="58"/>
      <c r="H354" s="150"/>
      <c r="I354" s="150"/>
      <c r="J354" s="150"/>
    </row>
    <row r="355" spans="2:10" ht="12.75">
      <c r="B355" s="469">
        <v>42768</v>
      </c>
      <c r="C355" s="449" t="s">
        <v>227</v>
      </c>
      <c r="D355" s="449"/>
      <c r="E355" s="449"/>
      <c r="F355" s="468">
        <f>-500</f>
        <v>-500</v>
      </c>
      <c r="G355" s="108"/>
      <c r="H355" s="150" t="s">
        <v>333</v>
      </c>
      <c r="I355" s="122" t="s">
        <v>79</v>
      </c>
      <c r="J355" s="150" t="s">
        <v>349</v>
      </c>
    </row>
    <row r="356" spans="2:10" ht="12.75">
      <c r="B356" s="469">
        <v>42770</v>
      </c>
      <c r="C356" s="449" t="s">
        <v>228</v>
      </c>
      <c r="D356" s="449"/>
      <c r="E356" s="449"/>
      <c r="F356" s="468">
        <f>-574</f>
        <v>-574</v>
      </c>
      <c r="G356" s="108"/>
      <c r="H356" s="150" t="s">
        <v>330</v>
      </c>
      <c r="I356" s="122">
        <v>1074</v>
      </c>
      <c r="J356" s="150"/>
    </row>
    <row r="357" spans="2:10" ht="12.75">
      <c r="B357" s="455"/>
      <c r="C357" s="24"/>
      <c r="D357" s="24"/>
      <c r="E357" s="24"/>
      <c r="F357" s="58"/>
      <c r="H357" s="150"/>
      <c r="I357" s="150"/>
      <c r="J357" s="150"/>
    </row>
    <row r="358" spans="2:10" ht="12.75">
      <c r="B358" s="268" t="s">
        <v>307</v>
      </c>
      <c r="C358" s="192"/>
      <c r="D358" s="192"/>
      <c r="E358" s="192"/>
      <c r="F358" s="470">
        <f>SUM(F355:F357)</f>
        <v>-1074</v>
      </c>
      <c r="H358" s="150"/>
      <c r="I358" s="150"/>
      <c r="J358" s="150"/>
    </row>
    <row r="359" spans="2:10" ht="12.75">
      <c r="B359" s="213"/>
      <c r="C359" s="150"/>
      <c r="D359" s="24"/>
      <c r="E359" s="24"/>
      <c r="F359" s="58"/>
      <c r="H359" s="150"/>
      <c r="I359" s="150"/>
      <c r="J359" s="150"/>
    </row>
    <row r="360" spans="2:10" ht="15">
      <c r="B360" s="119">
        <f>B328</f>
        <v>43100</v>
      </c>
      <c r="C360" s="262" t="s">
        <v>2</v>
      </c>
      <c r="D360" s="130"/>
      <c r="E360" s="131"/>
      <c r="F360" s="173">
        <f>F353+F358</f>
        <v>926</v>
      </c>
      <c r="G360" s="564"/>
      <c r="H360" s="150"/>
      <c r="I360" s="150"/>
      <c r="J360" s="150"/>
    </row>
    <row r="361" spans="2:10" ht="15">
      <c r="B361" s="427"/>
      <c r="C361" s="471" t="s">
        <v>362</v>
      </c>
      <c r="D361" s="471"/>
      <c r="E361" s="471"/>
      <c r="F361" s="193"/>
      <c r="G361" s="564"/>
      <c r="H361" s="150"/>
      <c r="I361" s="150"/>
      <c r="J361" s="150"/>
    </row>
    <row r="362" spans="2:10" ht="15">
      <c r="B362" s="427"/>
      <c r="C362" s="471"/>
      <c r="D362" s="471"/>
      <c r="E362" s="471"/>
      <c r="F362" s="193"/>
      <c r="G362" s="564"/>
      <c r="H362" s="150"/>
      <c r="I362" s="150"/>
      <c r="J362" s="150"/>
    </row>
    <row r="363" spans="2:10" ht="15">
      <c r="B363" s="427"/>
      <c r="C363" s="471"/>
      <c r="D363" s="471"/>
      <c r="E363" s="471"/>
      <c r="F363" s="193"/>
      <c r="G363" s="564"/>
      <c r="H363" s="150"/>
      <c r="I363" s="150"/>
      <c r="J363" s="150"/>
    </row>
    <row r="364" spans="2:10" ht="15">
      <c r="B364" s="427"/>
      <c r="C364" s="471" t="s">
        <v>364</v>
      </c>
      <c r="D364" s="471"/>
      <c r="E364" s="471"/>
      <c r="F364" s="193">
        <f>SUM(F361:F363)</f>
        <v>0</v>
      </c>
      <c r="G364" s="564"/>
      <c r="H364" s="150"/>
      <c r="I364" s="150"/>
      <c r="J364" s="150"/>
    </row>
    <row r="365" spans="2:10" ht="15">
      <c r="B365" s="427"/>
      <c r="C365" s="471" t="s">
        <v>363</v>
      </c>
      <c r="D365" s="471"/>
      <c r="E365" s="471"/>
      <c r="F365" s="193"/>
      <c r="G365" s="564"/>
      <c r="H365" s="150"/>
      <c r="I365" s="150"/>
      <c r="J365" s="150"/>
    </row>
    <row r="366" spans="2:10" ht="15">
      <c r="B366" s="427"/>
      <c r="C366" s="471"/>
      <c r="D366" s="471"/>
      <c r="E366" s="471"/>
      <c r="F366" s="193"/>
      <c r="G366" s="564"/>
      <c r="H366" s="150"/>
      <c r="I366" s="150"/>
      <c r="J366" s="150"/>
    </row>
    <row r="367" spans="2:10" ht="15">
      <c r="B367" s="427"/>
      <c r="C367" s="471"/>
      <c r="D367" s="471"/>
      <c r="E367" s="471"/>
      <c r="F367" s="193"/>
      <c r="G367" s="564"/>
      <c r="H367" s="150"/>
      <c r="I367" s="150"/>
      <c r="J367" s="150"/>
    </row>
    <row r="368" spans="2:10" ht="15.75" thickBot="1">
      <c r="B368" s="427"/>
      <c r="C368" s="471" t="s">
        <v>365</v>
      </c>
      <c r="D368" s="471"/>
      <c r="E368" s="471"/>
      <c r="F368" s="193">
        <f>SUM(F365:F367)</f>
        <v>0</v>
      </c>
      <c r="G368" s="564"/>
      <c r="H368" s="150"/>
      <c r="I368" s="150"/>
      <c r="J368" s="150"/>
    </row>
    <row r="369" spans="2:10" ht="15.75" thickBot="1">
      <c r="B369" s="574">
        <f>B2</f>
        <v>43830</v>
      </c>
      <c r="C369" s="575" t="s">
        <v>2</v>
      </c>
      <c r="D369" s="575"/>
      <c r="E369" s="575"/>
      <c r="F369" s="576">
        <f>F360+F364+F368</f>
        <v>926</v>
      </c>
      <c r="G369" s="564"/>
      <c r="H369" s="150"/>
      <c r="I369" s="150"/>
      <c r="J369" s="150"/>
    </row>
    <row r="370" spans="8:10" ht="12.75">
      <c r="H370" s="150"/>
      <c r="I370" s="150"/>
      <c r="J370" s="150"/>
    </row>
    <row r="371" spans="8:10" ht="13.5" thickBot="1">
      <c r="H371" s="150"/>
      <c r="I371" s="150"/>
      <c r="J371" s="150"/>
    </row>
    <row r="372" spans="2:10" ht="15.75" thickBot="1">
      <c r="B372" s="255" t="s">
        <v>140</v>
      </c>
      <c r="C372" s="203"/>
      <c r="D372" s="203"/>
      <c r="E372" s="447" t="s">
        <v>243</v>
      </c>
      <c r="F372" s="444"/>
      <c r="H372" s="150"/>
      <c r="I372" s="150"/>
      <c r="J372" s="150"/>
    </row>
    <row r="373" spans="2:6" ht="15.75" thickBot="1">
      <c r="B373" s="579">
        <v>43465</v>
      </c>
      <c r="C373" s="225"/>
      <c r="D373" s="225"/>
      <c r="E373" s="226"/>
      <c r="F373" s="576">
        <f>'jaarrek 2017 begr 2018 '!H8</f>
        <v>704.3300000000072</v>
      </c>
    </row>
    <row r="374" spans="2:6" ht="15">
      <c r="B374" s="242"/>
      <c r="C374" s="225"/>
      <c r="D374" s="225"/>
      <c r="E374" s="226"/>
      <c r="F374" s="405"/>
    </row>
    <row r="375" spans="2:6" ht="15">
      <c r="B375" s="406">
        <f>B2</f>
        <v>43830</v>
      </c>
      <c r="C375" s="241" t="str">
        <f>C286</f>
        <v>Saldo</v>
      </c>
      <c r="D375" s="263"/>
      <c r="E375" s="248"/>
      <c r="F375" s="240">
        <f>'31 dec 2019'!G29</f>
        <v>704.330000000009</v>
      </c>
    </row>
    <row r="376" spans="2:6" ht="15.75" thickBot="1">
      <c r="B376" s="244"/>
      <c r="C376" s="245"/>
      <c r="D376" s="246"/>
      <c r="E376" s="246"/>
      <c r="F376" s="247"/>
    </row>
  </sheetData>
  <sheetProtection/>
  <printOptions/>
  <pageMargins left="0.7" right="0.7" top="0.75" bottom="0.75" header="0.3" footer="0.3"/>
  <pageSetup fitToHeight="2" fitToWidth="1" horizontalDpi="360" verticalDpi="360" orientation="portrait" paperSize="9" scale="4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E1">
      <selection activeCell="O1" sqref="O1"/>
    </sheetView>
  </sheetViews>
  <sheetFormatPr defaultColWidth="9.140625" defaultRowHeight="12.75"/>
  <cols>
    <col min="1" max="1" width="33.421875" style="0" customWidth="1"/>
    <col min="2" max="2" width="6.28125" style="0" customWidth="1"/>
    <col min="3" max="3" width="18.8515625" style="0" customWidth="1"/>
    <col min="4" max="4" width="19.8515625" style="0" customWidth="1"/>
    <col min="5" max="5" width="1.28515625" style="0" customWidth="1"/>
    <col min="6" max="6" width="35.00390625" style="0" customWidth="1"/>
    <col min="7" max="7" width="3.7109375" style="0" customWidth="1"/>
    <col min="8" max="8" width="17.57421875" style="0" customWidth="1"/>
    <col min="9" max="9" width="15.140625" style="0" customWidth="1"/>
    <col min="10" max="10" width="14.421875" style="0" customWidth="1"/>
    <col min="11" max="11" width="3.00390625" style="0" customWidth="1"/>
    <col min="12" max="12" width="47.421875" style="0" customWidth="1"/>
    <col min="13" max="13" width="27.140625" style="0" customWidth="1"/>
    <col min="14" max="14" width="14.8515625" style="0" customWidth="1"/>
    <col min="15" max="15" width="1.7109375" style="0" customWidth="1"/>
    <col min="16" max="16" width="35.00390625" style="0" customWidth="1"/>
    <col min="17" max="17" width="6.140625" style="0" customWidth="1"/>
    <col min="18" max="18" width="13.7109375" style="490" customWidth="1"/>
    <col min="19" max="19" width="14.57421875" style="0" customWidth="1"/>
    <col min="20" max="20" width="14.00390625" style="0" customWidth="1"/>
  </cols>
  <sheetData>
    <row r="1" spans="1:17" ht="18" thickBot="1">
      <c r="A1" s="294" t="s">
        <v>168</v>
      </c>
      <c r="B1" s="295"/>
      <c r="C1" s="295"/>
      <c r="D1" s="295"/>
      <c r="E1" s="296"/>
      <c r="F1" s="297"/>
      <c r="G1" s="297"/>
      <c r="H1" s="297"/>
      <c r="I1" s="297"/>
      <c r="Q1" s="393"/>
    </row>
    <row r="2" spans="1:19" ht="21" thickBot="1">
      <c r="A2" s="454" t="s">
        <v>289</v>
      </c>
      <c r="B2" s="299"/>
      <c r="C2" s="299"/>
      <c r="D2" s="95" t="s">
        <v>350</v>
      </c>
      <c r="E2" s="300"/>
      <c r="F2" s="301"/>
      <c r="G2" s="301"/>
      <c r="H2" s="301"/>
      <c r="I2" s="301"/>
      <c r="L2" s="454" t="s">
        <v>291</v>
      </c>
      <c r="M2" s="486"/>
      <c r="N2" s="304"/>
      <c r="O2" s="304"/>
      <c r="P2" s="304"/>
      <c r="Q2" s="394"/>
      <c r="R2" s="491"/>
      <c r="S2" s="305"/>
    </row>
    <row r="3" spans="1:20" ht="15">
      <c r="A3" s="306"/>
      <c r="B3" s="307"/>
      <c r="C3" s="307"/>
      <c r="D3" s="307"/>
      <c r="E3" s="308"/>
      <c r="F3" s="309"/>
      <c r="G3" s="309"/>
      <c r="H3" s="309"/>
      <c r="I3" s="512"/>
      <c r="L3" s="310"/>
      <c r="M3" s="311"/>
      <c r="N3" s="312"/>
      <c r="O3" s="312"/>
      <c r="P3" s="313"/>
      <c r="Q3" s="395"/>
      <c r="R3" s="492"/>
      <c r="S3" s="314"/>
      <c r="T3" s="8" t="s">
        <v>170</v>
      </c>
    </row>
    <row r="4" spans="1:20" ht="15">
      <c r="A4" s="900" t="s">
        <v>290</v>
      </c>
      <c r="B4" s="901"/>
      <c r="C4" s="901"/>
      <c r="D4" s="901"/>
      <c r="E4" s="901"/>
      <c r="F4" s="901"/>
      <c r="G4" s="901"/>
      <c r="H4" s="901"/>
      <c r="I4" s="902"/>
      <c r="L4" s="315"/>
      <c r="M4" s="313"/>
      <c r="N4" s="314"/>
      <c r="O4" s="314"/>
      <c r="P4" s="313"/>
      <c r="Q4" s="395"/>
      <c r="R4" s="492"/>
      <c r="S4" s="314"/>
      <c r="T4" s="8" t="s">
        <v>172</v>
      </c>
    </row>
    <row r="5" spans="1:21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/>
      <c r="I5" s="513"/>
      <c r="L5" s="319" t="s">
        <v>175</v>
      </c>
      <c r="M5" s="396">
        <v>2018</v>
      </c>
      <c r="N5" s="523">
        <v>2017</v>
      </c>
      <c r="O5" s="321"/>
      <c r="P5" s="320" t="s">
        <v>176</v>
      </c>
      <c r="Q5" s="396"/>
      <c r="R5" s="396">
        <v>2018</v>
      </c>
      <c r="S5" s="396">
        <v>2017</v>
      </c>
      <c r="T5" s="8" t="s">
        <v>177</v>
      </c>
      <c r="U5" s="150"/>
    </row>
    <row r="6" spans="1:21" ht="15">
      <c r="A6" s="213"/>
      <c r="B6" s="39"/>
      <c r="C6" s="322">
        <v>43100</v>
      </c>
      <c r="D6" s="322">
        <v>42735</v>
      </c>
      <c r="E6" s="33"/>
      <c r="F6" s="324"/>
      <c r="G6" s="324"/>
      <c r="H6" s="323">
        <v>43100</v>
      </c>
      <c r="I6" s="325">
        <v>42735</v>
      </c>
      <c r="L6" s="315"/>
      <c r="M6" s="313"/>
      <c r="N6" s="524"/>
      <c r="O6" s="314"/>
      <c r="P6" s="313"/>
      <c r="Q6" s="395"/>
      <c r="R6" s="492"/>
      <c r="S6" s="314"/>
      <c r="U6" s="150"/>
    </row>
    <row r="7" spans="1:21" ht="15">
      <c r="A7" s="213"/>
      <c r="B7" s="39"/>
      <c r="C7" s="39"/>
      <c r="D7" s="39"/>
      <c r="E7" s="33"/>
      <c r="F7" s="324"/>
      <c r="G7" s="324"/>
      <c r="H7" s="324"/>
      <c r="I7" s="514"/>
      <c r="L7" s="327" t="s">
        <v>70</v>
      </c>
      <c r="M7" s="489">
        <f>C8</f>
        <v>232.52</v>
      </c>
      <c r="N7" s="328">
        <f>D8</f>
        <v>389.69</v>
      </c>
      <c r="O7" s="329"/>
      <c r="P7" s="330" t="str">
        <f>'fin overz 31 dec 2016'!E16</f>
        <v>*Tuinwerkgroep</v>
      </c>
      <c r="Q7" s="397" t="str">
        <f>'project 2018'!E6</f>
        <v>nr.1</v>
      </c>
      <c r="R7" s="493">
        <f>'project 2018'!F17</f>
        <v>232.51999999999992</v>
      </c>
      <c r="S7" s="328">
        <f>'fin overz 31 dec 2016'!H16</f>
        <v>389.68999999999994</v>
      </c>
      <c r="U7" s="150"/>
    </row>
    <row r="8" spans="1:21" ht="15">
      <c r="A8" s="213" t="s">
        <v>213</v>
      </c>
      <c r="B8" s="39"/>
      <c r="C8" s="215">
        <v>232.52</v>
      </c>
      <c r="D8" s="215">
        <f>'fin overz 31 dec 2016'!C16</f>
        <v>389.69</v>
      </c>
      <c r="E8" s="33"/>
      <c r="F8" s="388" t="s">
        <v>204</v>
      </c>
      <c r="G8" s="388"/>
      <c r="H8" s="388">
        <f>-SUM(H10:H21)+H23</f>
        <v>704.3300000000072</v>
      </c>
      <c r="I8" s="515">
        <f>-SUM(I10:I20)+I23</f>
        <v>704.310000000005</v>
      </c>
      <c r="L8" s="327" t="s">
        <v>215</v>
      </c>
      <c r="M8" s="489">
        <f>C9</f>
        <v>5318.25</v>
      </c>
      <c r="N8" s="328">
        <f>D9</f>
        <v>14080.15</v>
      </c>
      <c r="O8" s="329"/>
      <c r="P8" s="330" t="str">
        <f>'fin overz 31 dec 2016'!E17</f>
        <v>*Te besteden voor tuin </v>
      </c>
      <c r="Q8" s="397" t="str">
        <f>'project 2018'!E30</f>
        <v>nr. 2</v>
      </c>
      <c r="R8" s="493">
        <f>'project 2018'!F36</f>
        <v>598.1699999999998</v>
      </c>
      <c r="S8" s="328">
        <f>'fin overz 31 dec 2016'!H17</f>
        <v>598.1699999999998</v>
      </c>
      <c r="U8" s="150"/>
    </row>
    <row r="9" spans="1:21" ht="15">
      <c r="A9" s="213" t="s">
        <v>293</v>
      </c>
      <c r="B9" s="39"/>
      <c r="C9" s="215">
        <v>5318.25</v>
      </c>
      <c r="D9" s="215">
        <f>'fin overz 31 dec 2016'!C17</f>
        <v>14080.15</v>
      </c>
      <c r="E9" s="33"/>
      <c r="F9" s="331"/>
      <c r="G9" s="331"/>
      <c r="H9" s="253"/>
      <c r="I9" s="332"/>
      <c r="L9" s="327" t="s">
        <v>73</v>
      </c>
      <c r="M9" s="489">
        <f>C12</f>
        <v>7537.84</v>
      </c>
      <c r="N9" s="328">
        <f>D12</f>
        <v>7708.3099999999995</v>
      </c>
      <c r="O9" s="329"/>
      <c r="P9" s="330" t="str">
        <f>'fin overz 31 dec 2016'!E18</f>
        <v>*Te besteden voor algemene publieksact.</v>
      </c>
      <c r="Q9" s="397" t="str">
        <f>'project 2018'!E49</f>
        <v>nr.3</v>
      </c>
      <c r="R9" s="493">
        <f>'project 2018'!F56</f>
        <v>2.2282176104226892E-13</v>
      </c>
      <c r="S9" s="328">
        <f>'fin overz 31 dec 2016'!H18</f>
        <v>0.6300000000002228</v>
      </c>
      <c r="U9" s="150"/>
    </row>
    <row r="10" spans="1:21" ht="15">
      <c r="A10" s="26"/>
      <c r="B10" s="24"/>
      <c r="C10" s="24"/>
      <c r="D10" s="24"/>
      <c r="E10" s="33"/>
      <c r="F10" s="331" t="str">
        <f>'31 dec 2019'!E16</f>
        <v>*Tuinwerkgroep</v>
      </c>
      <c r="G10" s="487">
        <f>'31 dec 2019'!F16</f>
        <v>1</v>
      </c>
      <c r="H10" s="235">
        <f>'project 2018'!F17</f>
        <v>232.51999999999992</v>
      </c>
      <c r="I10" s="332">
        <f>'fin overz 31 dec 2016'!H16</f>
        <v>389.68999999999994</v>
      </c>
      <c r="J10" s="235">
        <v>232.51999999999992</v>
      </c>
      <c r="K10" s="132"/>
      <c r="L10" s="327" t="s">
        <v>216</v>
      </c>
      <c r="M10" s="453"/>
      <c r="N10" s="328">
        <v>2000</v>
      </c>
      <c r="O10" s="329"/>
      <c r="P10" s="330" t="str">
        <f>'fin overz 31 dec 2016'!E19</f>
        <v>*Reservering diversen</v>
      </c>
      <c r="Q10" s="397" t="str">
        <f>'project 2018'!E60</f>
        <v>nr.4</v>
      </c>
      <c r="R10" s="493">
        <f>'project 2018'!F103</f>
        <v>133.32000000000008</v>
      </c>
      <c r="S10" s="328">
        <f>'fin overz 31 dec 2016'!H19</f>
        <v>99.23000000000008</v>
      </c>
      <c r="U10" s="150"/>
    </row>
    <row r="11" spans="1:21" ht="15">
      <c r="A11" s="26"/>
      <c r="B11" s="24"/>
      <c r="C11" s="24"/>
      <c r="D11" s="24"/>
      <c r="E11" s="33"/>
      <c r="F11" s="331" t="str">
        <f>'31 dec 2019'!E17</f>
        <v>*Te besteden voor tuin </v>
      </c>
      <c r="G11" s="487">
        <f>'31 dec 2019'!F17</f>
        <v>2</v>
      </c>
      <c r="H11" s="235">
        <f>'project 2018'!F36</f>
        <v>598.1699999999998</v>
      </c>
      <c r="I11" s="332">
        <f>'fin overz 31 dec 2016'!H17</f>
        <v>598.1699999999998</v>
      </c>
      <c r="J11" s="235">
        <v>598.1699999999998</v>
      </c>
      <c r="L11" s="327"/>
      <c r="M11" s="453"/>
      <c r="N11" s="328"/>
      <c r="O11" s="329"/>
      <c r="P11" s="330" t="str">
        <f>'fin overz 31 dec 2016'!E20</f>
        <v>*Te besteden voor tentoonstelling</v>
      </c>
      <c r="Q11" s="397" t="str">
        <f>'project 2018'!E126</f>
        <v>nr.5</v>
      </c>
      <c r="R11" s="493">
        <f>'project 2018'!F135</f>
        <v>0</v>
      </c>
      <c r="S11" s="328">
        <f>'fin overz 31 dec 2016'!H20</f>
        <v>2084</v>
      </c>
      <c r="U11" s="150"/>
    </row>
    <row r="12" spans="1:21" ht="15">
      <c r="A12" s="213" t="s">
        <v>73</v>
      </c>
      <c r="B12" s="39"/>
      <c r="C12" s="215">
        <v>7537.84</v>
      </c>
      <c r="D12" s="215">
        <f>'fin overz 31 dec 2016'!C20</f>
        <v>7708.3099999999995</v>
      </c>
      <c r="E12" s="33"/>
      <c r="F12" s="331" t="str">
        <f>'31 dec 2019'!E18</f>
        <v>*Te besteden voor algemene publieksact.</v>
      </c>
      <c r="G12" s="487">
        <f>'31 dec 2019'!F18</f>
        <v>3</v>
      </c>
      <c r="H12" s="235">
        <f>'project 2018'!F56</f>
        <v>2.2282176104226892E-13</v>
      </c>
      <c r="I12" s="332">
        <f>'fin overz 31 dec 2016'!H18</f>
        <v>0.6300000000002228</v>
      </c>
      <c r="J12" s="235">
        <v>2.2282176104226892E-13</v>
      </c>
      <c r="L12" s="327" t="s">
        <v>59</v>
      </c>
      <c r="M12" s="489">
        <v>5</v>
      </c>
      <c r="N12" s="328">
        <v>5</v>
      </c>
      <c r="O12" s="329"/>
      <c r="P12" s="330" t="str">
        <f>'fin overz 31 dec 2016'!E21</f>
        <v>*Te besteden herinrichting ruimte</v>
      </c>
      <c r="Q12" s="397" t="str">
        <f>'project 2018'!E137</f>
        <v>nr.6</v>
      </c>
      <c r="R12" s="493">
        <f>'project 2018'!F151</f>
        <v>31.440000000000012</v>
      </c>
      <c r="S12" s="328">
        <f>'fin overz 31 dec 2016'!H21</f>
        <v>100.1400000000001</v>
      </c>
      <c r="T12" s="132"/>
      <c r="U12" s="150"/>
    </row>
    <row r="13" spans="1:21" ht="15">
      <c r="A13" s="412"/>
      <c r="B13" s="214"/>
      <c r="C13" s="214"/>
      <c r="D13" s="24"/>
      <c r="E13" s="33"/>
      <c r="F13" s="331" t="str">
        <f>'31 dec 2019'!E19</f>
        <v>*Reservering diversen</v>
      </c>
      <c r="G13" s="487">
        <f>'31 dec 2019'!F19</f>
        <v>4</v>
      </c>
      <c r="H13" s="235">
        <f>'project 2018'!F103</f>
        <v>133.32000000000008</v>
      </c>
      <c r="I13" s="332">
        <f>'fin overz 31 dec 2016'!H19</f>
        <v>99.23000000000008</v>
      </c>
      <c r="J13" s="235">
        <v>133.32000000000008</v>
      </c>
      <c r="L13" s="327" t="s">
        <v>180</v>
      </c>
      <c r="M13" s="489">
        <v>50</v>
      </c>
      <c r="N13" s="328">
        <v>50</v>
      </c>
      <c r="O13" s="329"/>
      <c r="P13" s="330" t="str">
        <f>'fin overz 31 dec 2016'!E22</f>
        <v>*Te besteden 50 dingen boekje</v>
      </c>
      <c r="Q13" s="397" t="str">
        <f>'project 2018'!E164</f>
        <v>nr.7</v>
      </c>
      <c r="R13" s="493">
        <f>'project 2018'!F204</f>
        <v>7537.839999999998</v>
      </c>
      <c r="S13" s="328">
        <f>'fin overz 31 dec 2016'!H22</f>
        <v>8153.309999999998</v>
      </c>
      <c r="U13" s="224"/>
    </row>
    <row r="14" spans="1:21" ht="15">
      <c r="A14" s="26"/>
      <c r="B14" s="24"/>
      <c r="C14" s="24"/>
      <c r="D14" s="24"/>
      <c r="E14" s="33"/>
      <c r="F14" s="331" t="str">
        <f>'31 dec 2019'!E20</f>
        <v>*Te besteden voor tentoonstelling</v>
      </c>
      <c r="G14" s="487">
        <f>'31 dec 2019'!F20</f>
        <v>5</v>
      </c>
      <c r="H14" s="235">
        <f>'project 2018'!F135</f>
        <v>0</v>
      </c>
      <c r="I14" s="332">
        <f>'fin overz 31 dec 2016'!H20</f>
        <v>2084</v>
      </c>
      <c r="J14" s="235">
        <v>0</v>
      </c>
      <c r="L14" s="327"/>
      <c r="M14" s="453"/>
      <c r="N14" s="328" t="s">
        <v>183</v>
      </c>
      <c r="O14" s="329"/>
      <c r="P14" s="330" t="str">
        <f>'fin overz 31 dec 2016'!E23</f>
        <v>*Basisonderwijs/st. Ronde Venen fonds</v>
      </c>
      <c r="Q14" s="397" t="str">
        <f>'project 2018'!E227</f>
        <v>nr.8</v>
      </c>
      <c r="R14" s="499">
        <f>'project 2018'!F234+M16</f>
        <v>3000</v>
      </c>
      <c r="S14" s="328">
        <f>'fin overz 31 dec 2016'!H23</f>
        <v>0</v>
      </c>
      <c r="U14" s="224"/>
    </row>
    <row r="15" spans="1:21" ht="15">
      <c r="A15" s="238"/>
      <c r="B15" s="224"/>
      <c r="C15" s="224"/>
      <c r="D15" s="224"/>
      <c r="E15" s="33"/>
      <c r="F15" s="331" t="str">
        <f>'31 dec 2019'!E21</f>
        <v>*Te besteden herinrichting ruimte</v>
      </c>
      <c r="G15" s="487">
        <f>'31 dec 2019'!F21</f>
        <v>6</v>
      </c>
      <c r="H15" s="235">
        <f>'project 2018'!F151</f>
        <v>31.440000000000012</v>
      </c>
      <c r="I15" s="332">
        <f>'fin overz 31 dec 2016'!H21</f>
        <v>100.1400000000001</v>
      </c>
      <c r="J15" s="235">
        <v>31.440000000000012</v>
      </c>
      <c r="L15" s="327" t="s">
        <v>294</v>
      </c>
      <c r="M15" s="453"/>
      <c r="N15" s="328"/>
      <c r="O15" s="329"/>
      <c r="P15" s="330" t="str">
        <f>'fin overz 31 dec 2016'!E24</f>
        <v>*Stichting Doen/Oranjefonds</v>
      </c>
      <c r="Q15" s="397" t="str">
        <f>'project 2018'!E248</f>
        <v>nr.9</v>
      </c>
      <c r="R15" s="493">
        <f>'project 2018'!F257</f>
        <v>48.66</v>
      </c>
      <c r="S15" s="328">
        <f>'fin overz 31 dec 2016'!H24</f>
        <v>48.66</v>
      </c>
      <c r="U15" s="224"/>
    </row>
    <row r="16" spans="1:21" ht="15">
      <c r="A16" s="238"/>
      <c r="B16" s="224"/>
      <c r="C16" s="224"/>
      <c r="D16" s="224"/>
      <c r="E16" s="33"/>
      <c r="F16" s="331" t="str">
        <f>'31 dec 2019'!E22</f>
        <v>*Te besteden 50 dingen boekje</v>
      </c>
      <c r="G16" s="487">
        <f>'31 dec 2019'!F22</f>
        <v>7</v>
      </c>
      <c r="H16" s="235">
        <f>'project 2018'!F204</f>
        <v>7537.839999999998</v>
      </c>
      <c r="I16" s="332">
        <f>'fin overz 31 dec 2016'!H22</f>
        <v>8153.309999999998</v>
      </c>
      <c r="J16" s="235">
        <v>7537.839999999998</v>
      </c>
      <c r="L16" s="327" t="s">
        <v>295</v>
      </c>
      <c r="M16" s="489">
        <v>3000</v>
      </c>
      <c r="N16" s="328"/>
      <c r="O16" s="329"/>
      <c r="P16" s="330" t="str">
        <f>'fin overz 31 dec 2016'!E25</f>
        <v>*Rotary Vinkeveen</v>
      </c>
      <c r="Q16" s="397" t="str">
        <f>'project 2018'!E268</f>
        <v>nr 10</v>
      </c>
      <c r="R16" s="493">
        <f>'project 2018'!F277</f>
        <v>0</v>
      </c>
      <c r="S16" s="328">
        <f>'fin overz 31 dec 2016'!H25-'fin overz 31 dec 2016'!G25</f>
        <v>0.009999999999990905</v>
      </c>
      <c r="U16" s="224"/>
    </row>
    <row r="17" spans="1:21" ht="15">
      <c r="A17" s="213"/>
      <c r="B17" s="39"/>
      <c r="C17" s="39"/>
      <c r="D17" s="39"/>
      <c r="E17" s="33"/>
      <c r="F17" s="331" t="str">
        <f>'31 dec 2019'!E23</f>
        <v>*Basisonderwijs/st. Ronde Venen fonds</v>
      </c>
      <c r="G17" s="487">
        <f>'31 dec 2019'!F23</f>
        <v>8</v>
      </c>
      <c r="H17" s="235">
        <f>'project 2018'!F236</f>
        <v>1500</v>
      </c>
      <c r="I17" s="332">
        <f>'fin overz 31 dec 2016'!H23</f>
        <v>0</v>
      </c>
      <c r="J17" s="235">
        <v>1500</v>
      </c>
      <c r="L17" s="327" t="s">
        <v>297</v>
      </c>
      <c r="M17" s="489">
        <v>13620</v>
      </c>
      <c r="N17" s="328"/>
      <c r="O17" s="329"/>
      <c r="P17" s="330" t="str">
        <f>'fin overz 31 dec 2016'!E26</f>
        <v>*25 jarig bestaan</v>
      </c>
      <c r="Q17" s="397" t="str">
        <f>'project 2018'!E280</f>
        <v>nr.11</v>
      </c>
      <c r="R17" s="498">
        <v>15664.05</v>
      </c>
      <c r="S17" s="328">
        <f>'fin overz 31 dec 2016'!H26</f>
        <v>10000</v>
      </c>
      <c r="U17" s="150"/>
    </row>
    <row r="18" spans="1:19" ht="15">
      <c r="A18" s="213"/>
      <c r="B18" s="39"/>
      <c r="C18" s="39"/>
      <c r="D18" s="39"/>
      <c r="E18" s="33"/>
      <c r="F18" s="331" t="str">
        <f>'31 dec 2019'!E24</f>
        <v>*Stichting Doen/Oranjefonds</v>
      </c>
      <c r="G18" s="487">
        <f>'31 dec 2019'!F24</f>
        <v>9</v>
      </c>
      <c r="H18" s="235">
        <f>'project 2018'!F257</f>
        <v>48.66</v>
      </c>
      <c r="I18" s="332">
        <f>'fin overz 31 dec 2016'!H24</f>
        <v>48.66</v>
      </c>
      <c r="J18" s="235">
        <v>48.66</v>
      </c>
      <c r="L18" s="327"/>
      <c r="M18" s="453"/>
      <c r="N18" s="328"/>
      <c r="O18" s="329"/>
      <c r="P18" s="453" t="s">
        <v>223</v>
      </c>
      <c r="Q18" s="398" t="str">
        <f>'project 2018'!E351</f>
        <v>nr 12</v>
      </c>
      <c r="R18" s="494">
        <f>'project 2018'!F360</f>
        <v>926</v>
      </c>
      <c r="S18" s="328">
        <v>2000</v>
      </c>
    </row>
    <row r="19" spans="1:19" ht="15">
      <c r="A19" s="213"/>
      <c r="B19" s="39"/>
      <c r="C19" s="39"/>
      <c r="D19" s="39"/>
      <c r="E19" s="33"/>
      <c r="F19" s="331" t="str">
        <f>'31 dec 2019'!E25</f>
        <v>*Rotary Vinkeveen</v>
      </c>
      <c r="G19" s="487">
        <f>'31 dec 2019'!F25</f>
        <v>10</v>
      </c>
      <c r="H19" s="235">
        <f>'project 2018'!F277</f>
        <v>0</v>
      </c>
      <c r="I19" s="332">
        <f>'fin overz 31 dec 2016'!H25-'fin overz 31 dec 2016'!G25</f>
        <v>0.009999999999990905</v>
      </c>
      <c r="J19" s="235">
        <v>0</v>
      </c>
      <c r="L19" s="500" t="s">
        <v>298</v>
      </c>
      <c r="M19" s="453"/>
      <c r="N19" s="328"/>
      <c r="O19" s="329"/>
      <c r="P19" s="334"/>
      <c r="Q19" s="398"/>
      <c r="R19" s="494"/>
      <c r="S19" s="292"/>
    </row>
    <row r="20" spans="1:20" ht="15">
      <c r="A20" s="213"/>
      <c r="B20" s="39"/>
      <c r="C20" s="39"/>
      <c r="D20" s="39"/>
      <c r="E20" s="33"/>
      <c r="F20" s="331" t="str">
        <f>'31 dec 2019'!E26</f>
        <v>*25 jarig bestaan</v>
      </c>
      <c r="G20" s="487">
        <f>'31 dec 2019'!F26</f>
        <v>11</v>
      </c>
      <c r="H20" s="235">
        <f>'project 2018'!F328</f>
        <v>1376.3299999999945</v>
      </c>
      <c r="I20" s="332">
        <f>'fin overz 31 dec 2016'!H26</f>
        <v>10000</v>
      </c>
      <c r="J20" s="235">
        <v>1376.3299999999945</v>
      </c>
      <c r="L20" s="500" t="s">
        <v>299</v>
      </c>
      <c r="M20" s="489"/>
      <c r="N20" s="328"/>
      <c r="O20" s="329"/>
      <c r="P20" s="334"/>
      <c r="Q20" s="398"/>
      <c r="R20" s="494"/>
      <c r="S20" s="329"/>
      <c r="T20" s="132"/>
    </row>
    <row r="21" spans="1:20" ht="15">
      <c r="A21" s="213"/>
      <c r="B21" s="39"/>
      <c r="C21" s="39"/>
      <c r="D21" s="39"/>
      <c r="E21" s="33"/>
      <c r="F21" s="331" t="str">
        <f>'31 dec 2019'!E27</f>
        <v>*Ontwikkeling NME (1)</v>
      </c>
      <c r="G21" s="487">
        <f>'31 dec 2019'!F27</f>
        <v>12</v>
      </c>
      <c r="H21" s="235">
        <f>'project 2018'!F360</f>
        <v>926</v>
      </c>
      <c r="I21" s="332"/>
      <c r="J21" s="235">
        <v>926</v>
      </c>
      <c r="L21" s="327"/>
      <c r="M21" s="489"/>
      <c r="N21" s="328"/>
      <c r="O21" s="329"/>
      <c r="P21" s="453" t="s">
        <v>224</v>
      </c>
      <c r="Q21" s="398"/>
      <c r="R21" s="494">
        <f>SUM(R7:R20)</f>
        <v>28172</v>
      </c>
      <c r="S21" s="292">
        <f>SUM(S7:S20)</f>
        <v>23473.839999999997</v>
      </c>
      <c r="T21" s="132"/>
    </row>
    <row r="22" spans="1:20" ht="15.75" thickBot="1">
      <c r="A22" s="213"/>
      <c r="B22" s="39"/>
      <c r="C22" s="39"/>
      <c r="D22" s="39"/>
      <c r="E22" s="337"/>
      <c r="F22" s="338"/>
      <c r="G22" s="338"/>
      <c r="H22" s="338"/>
      <c r="I22" s="516"/>
      <c r="J22" s="338"/>
      <c r="L22" s="355"/>
      <c r="M22" s="525"/>
      <c r="N22" s="526"/>
      <c r="O22" s="329"/>
      <c r="P22" s="502" t="s">
        <v>163</v>
      </c>
      <c r="Q22" s="503"/>
      <c r="R22" s="504">
        <f>R23-R21</f>
        <v>1591.6100000000006</v>
      </c>
      <c r="S22" s="292">
        <f>S23-S21</f>
        <v>759.310000000005</v>
      </c>
      <c r="T22" s="132"/>
    </row>
    <row r="23" spans="1:19" ht="15" thickBot="1">
      <c r="A23" s="413" t="s">
        <v>205</v>
      </c>
      <c r="B23" s="339"/>
      <c r="C23" s="339">
        <f>SUM(C8:C14)</f>
        <v>13088.61</v>
      </c>
      <c r="D23" s="339">
        <f>SUM(D8:D22)</f>
        <v>22178.15</v>
      </c>
      <c r="E23" s="340"/>
      <c r="F23" s="341"/>
      <c r="G23" s="341"/>
      <c r="H23" s="339">
        <f>C23</f>
        <v>13088.61</v>
      </c>
      <c r="I23" s="343">
        <f>D23</f>
        <v>22178.15</v>
      </c>
      <c r="J23" s="339">
        <v>13088.61</v>
      </c>
      <c r="K23" s="132"/>
      <c r="L23" s="535" t="s">
        <v>79</v>
      </c>
      <c r="M23" s="536">
        <f>SUM(M7:M19)</f>
        <v>29763.61</v>
      </c>
      <c r="N23" s="536">
        <f>SUM(N7:N22)</f>
        <v>24233.15</v>
      </c>
      <c r="O23" s="537"/>
      <c r="P23" s="538" t="s">
        <v>79</v>
      </c>
      <c r="Q23" s="539"/>
      <c r="R23" s="540">
        <f>M23</f>
        <v>29763.61</v>
      </c>
      <c r="S23" s="541">
        <f>N23</f>
        <v>24233.15</v>
      </c>
    </row>
    <row r="24" spans="1:19" ht="15" thickBot="1">
      <c r="A24" s="349"/>
      <c r="B24" s="350"/>
      <c r="C24" s="350"/>
      <c r="D24" s="350"/>
      <c r="E24" s="352"/>
      <c r="F24" s="350"/>
      <c r="G24" s="350"/>
      <c r="H24" s="488"/>
      <c r="I24" s="517"/>
      <c r="L24" s="327"/>
      <c r="M24" s="453"/>
      <c r="N24" s="489"/>
      <c r="O24" s="542"/>
      <c r="P24" s="358"/>
      <c r="Q24" s="400"/>
      <c r="R24" s="543"/>
      <c r="S24" s="359"/>
    </row>
    <row r="25" spans="1:21" ht="15" thickBot="1">
      <c r="A25" s="349"/>
      <c r="B25" s="350"/>
      <c r="C25" s="350"/>
      <c r="D25" s="350"/>
      <c r="E25" s="352"/>
      <c r="F25" s="350"/>
      <c r="G25" s="350"/>
      <c r="H25" s="488"/>
      <c r="I25" s="517"/>
      <c r="L25" s="556" t="s">
        <v>301</v>
      </c>
      <c r="M25" s="557">
        <f>M17+'project 2018'!F328</f>
        <v>14996.329999999994</v>
      </c>
      <c r="N25" s="211"/>
      <c r="O25" s="37"/>
      <c r="P25" s="544" t="str">
        <f>P14</f>
        <v>*Basisonderwijs/st. Ronde Venen fonds</v>
      </c>
      <c r="Q25" s="527" t="s">
        <v>300</v>
      </c>
      <c r="R25" s="528"/>
      <c r="S25" s="529"/>
      <c r="T25" s="530"/>
      <c r="U25" s="501"/>
    </row>
    <row r="26" spans="1:21" ht="15" thickBot="1">
      <c r="A26" s="210"/>
      <c r="B26" s="37"/>
      <c r="C26" s="511">
        <f>C23-D23</f>
        <v>-9089.54</v>
      </c>
      <c r="D26" s="37"/>
      <c r="E26" s="308"/>
      <c r="F26" s="307"/>
      <c r="G26" s="307"/>
      <c r="H26" s="580"/>
      <c r="I26" s="307"/>
      <c r="L26" s="545" t="s">
        <v>302</v>
      </c>
      <c r="M26" s="558">
        <f>M25-R17</f>
        <v>-667.7200000000048</v>
      </c>
      <c r="N26" s="386"/>
      <c r="O26" s="351"/>
      <c r="P26" s="545" t="s">
        <v>121</v>
      </c>
      <c r="Q26" s="532" t="s">
        <v>324</v>
      </c>
      <c r="R26" s="533"/>
      <c r="S26" s="531"/>
      <c r="T26" s="534"/>
      <c r="U26" s="501"/>
    </row>
    <row r="27" spans="1:17" ht="15">
      <c r="A27" s="903" t="s">
        <v>292</v>
      </c>
      <c r="B27" s="904"/>
      <c r="C27" s="904"/>
      <c r="D27" s="904"/>
      <c r="E27" s="904"/>
      <c r="F27" s="904"/>
      <c r="G27" s="904"/>
      <c r="H27" s="904"/>
      <c r="I27" s="905"/>
      <c r="L27" s="548" t="s">
        <v>323</v>
      </c>
      <c r="M27" s="549"/>
      <c r="Q27" s="393"/>
    </row>
    <row r="28" spans="1:21" ht="13.5">
      <c r="A28" s="362" t="s">
        <v>175</v>
      </c>
      <c r="B28" s="363"/>
      <c r="C28" s="363"/>
      <c r="D28" s="363"/>
      <c r="E28" s="365"/>
      <c r="F28" s="317" t="s">
        <v>176</v>
      </c>
      <c r="G28" s="317"/>
      <c r="H28" s="317"/>
      <c r="I28" s="513"/>
      <c r="L28" s="550" t="s">
        <v>320</v>
      </c>
      <c r="M28" s="551">
        <f>H8</f>
        <v>704.3300000000072</v>
      </c>
      <c r="N28" s="150"/>
      <c r="O28" s="150"/>
      <c r="P28" s="150"/>
      <c r="Q28" s="401"/>
      <c r="R28" s="495"/>
      <c r="S28" s="150"/>
      <c r="T28" s="150"/>
      <c r="U28" s="150"/>
    </row>
    <row r="29" spans="1:21" ht="12.75">
      <c r="A29" s="26"/>
      <c r="B29" s="24"/>
      <c r="C29" s="24">
        <v>2017</v>
      </c>
      <c r="D29" s="24">
        <v>2016</v>
      </c>
      <c r="E29" s="368"/>
      <c r="F29" s="24"/>
      <c r="G29" s="24"/>
      <c r="H29" s="24">
        <v>2017</v>
      </c>
      <c r="I29" s="463">
        <v>2016</v>
      </c>
      <c r="L29" s="550" t="s">
        <v>302</v>
      </c>
      <c r="M29" s="552">
        <f>M26</f>
        <v>-667.7200000000048</v>
      </c>
      <c r="N29" s="235"/>
      <c r="O29" s="150"/>
      <c r="P29" s="150"/>
      <c r="Q29" s="401"/>
      <c r="R29" s="495"/>
      <c r="S29" s="150"/>
      <c r="T29" s="150"/>
      <c r="U29" s="150"/>
    </row>
    <row r="30" spans="1:21" ht="13.5">
      <c r="A30" s="49"/>
      <c r="B30" s="20"/>
      <c r="C30" s="20"/>
      <c r="D30" s="20"/>
      <c r="E30" s="24"/>
      <c r="F30" s="39" t="s">
        <v>210</v>
      </c>
      <c r="G30" s="20">
        <f>'fin overz 31 dec 2016'!F16</f>
        <v>1</v>
      </c>
      <c r="H30" s="20">
        <f>-'project 2018'!F16</f>
        <v>158.3</v>
      </c>
      <c r="I30" s="518">
        <f>-'fin overz 31 dec 2016'!I16</f>
        <v>308.65</v>
      </c>
      <c r="L30" s="550" t="s">
        <v>321</v>
      </c>
      <c r="M30" s="552">
        <f>M12+M13</f>
        <v>55</v>
      </c>
      <c r="N30" s="150"/>
      <c r="O30" s="235"/>
      <c r="P30" s="235"/>
      <c r="Q30" s="401"/>
      <c r="R30" s="495"/>
      <c r="S30" s="235"/>
      <c r="T30" s="235"/>
      <c r="U30" s="150"/>
    </row>
    <row r="31" spans="1:21" ht="13.5" thickBot="1">
      <c r="A31" s="213" t="s">
        <v>194</v>
      </c>
      <c r="B31" s="224">
        <v>1</v>
      </c>
      <c r="C31" s="252">
        <f>'project 2018'!F12</f>
        <v>1.13</v>
      </c>
      <c r="D31" s="215">
        <f>'project 2016'!F11+'project 2016'!F52</f>
        <v>9.95</v>
      </c>
      <c r="E31" s="39"/>
      <c r="F31" s="39" t="s">
        <v>191</v>
      </c>
      <c r="G31" s="39">
        <f>'fin overz 31 dec 2016'!F18</f>
        <v>3</v>
      </c>
      <c r="H31" s="39">
        <f>-'project 2018'!F55</f>
        <v>0.63</v>
      </c>
      <c r="I31" s="267">
        <f>-'fin overz 31 dec 2016'!I18</f>
        <v>408.18</v>
      </c>
      <c r="J31" s="121"/>
      <c r="K31" s="121"/>
      <c r="L31" s="550"/>
      <c r="M31" s="553"/>
      <c r="N31" s="150"/>
      <c r="O31" s="235"/>
      <c r="P31" s="235"/>
      <c r="Q31" s="401"/>
      <c r="R31" s="495"/>
      <c r="S31" s="235"/>
      <c r="T31" s="235"/>
      <c r="U31" s="150"/>
    </row>
    <row r="32" spans="1:21" ht="13.5" thickBot="1">
      <c r="A32" s="213" t="s">
        <v>67</v>
      </c>
      <c r="B32" s="224">
        <v>4</v>
      </c>
      <c r="C32" s="252">
        <f>'project 2018'!F83</f>
        <v>213.92</v>
      </c>
      <c r="D32" s="215"/>
      <c r="E32" s="39"/>
      <c r="F32" s="39" t="str">
        <f>'project 2018'!B126</f>
        <v>Donatie  St Ronde venen Fonds</v>
      </c>
      <c r="G32" s="39">
        <v>5</v>
      </c>
      <c r="H32" s="39">
        <f>-'project 2018'!F134</f>
        <v>2084</v>
      </c>
      <c r="I32" s="267"/>
      <c r="J32" s="121"/>
      <c r="K32" s="121"/>
      <c r="L32" s="554" t="s">
        <v>322</v>
      </c>
      <c r="M32" s="555">
        <f>SUM(M28:M31)</f>
        <v>91.6100000000024</v>
      </c>
      <c r="N32" s="150"/>
      <c r="O32" s="235"/>
      <c r="P32" s="235"/>
      <c r="Q32" s="401"/>
      <c r="R32" s="495"/>
      <c r="S32" s="235"/>
      <c r="T32" s="235"/>
      <c r="U32" s="150"/>
    </row>
    <row r="33" spans="1:21" ht="12.75">
      <c r="A33" s="28" t="str">
        <f>'project 2016'!C85</f>
        <v>Subsidie Pr.Bernh.Cult.Fonds</v>
      </c>
      <c r="B33" s="150">
        <v>6</v>
      </c>
      <c r="C33" s="150"/>
      <c r="D33" s="214">
        <f>'fin overz 31 dec 2016'!J21</f>
        <v>1250</v>
      </c>
      <c r="E33" s="39"/>
      <c r="F33" s="39" t="s">
        <v>211</v>
      </c>
      <c r="G33" s="39">
        <f>'fin overz 31 dec 2016'!F19</f>
        <v>4</v>
      </c>
      <c r="H33" s="215">
        <f>-'project 2018'!F101</f>
        <v>179.83</v>
      </c>
      <c r="I33" s="267">
        <f>-'project 2016'!F66</f>
        <v>127.50000000000003</v>
      </c>
      <c r="J33" s="253"/>
      <c r="K33" s="252"/>
      <c r="L33" s="150"/>
      <c r="M33" s="150"/>
      <c r="N33" s="150"/>
      <c r="O33" s="235"/>
      <c r="P33" s="235"/>
      <c r="Q33" s="401"/>
      <c r="R33" s="495"/>
      <c r="S33" s="235"/>
      <c r="T33" s="235"/>
      <c r="U33" s="150"/>
    </row>
    <row r="34" spans="1:21" ht="12.75">
      <c r="A34" s="213" t="s">
        <v>207</v>
      </c>
      <c r="B34" s="150">
        <v>7</v>
      </c>
      <c r="C34" s="235">
        <f>'project 2018'!F196</f>
        <v>103.28999999999999</v>
      </c>
      <c r="D34" s="214">
        <f>'fin overz 31 dec 2016'!J22</f>
        <v>20395</v>
      </c>
      <c r="E34" s="39"/>
      <c r="F34" s="39" t="s">
        <v>308</v>
      </c>
      <c r="G34" s="224">
        <f>'fin overz 31 dec 2016'!F21</f>
        <v>6</v>
      </c>
      <c r="H34" s="252">
        <f>-'project 2018'!F150</f>
        <v>68.7</v>
      </c>
      <c r="I34" s="267">
        <f>-'project 2016'!F89</f>
        <v>216.59</v>
      </c>
      <c r="J34" s="253"/>
      <c r="K34" s="252"/>
      <c r="L34" s="150"/>
      <c r="M34" s="150"/>
      <c r="N34" s="150"/>
      <c r="O34" s="235"/>
      <c r="P34" s="252"/>
      <c r="Q34" s="402"/>
      <c r="R34" s="496"/>
      <c r="S34" s="235"/>
      <c r="T34" s="235"/>
      <c r="U34" s="150"/>
    </row>
    <row r="35" spans="1:21" ht="12.75">
      <c r="A35" s="389" t="str">
        <f>'project 2016'!C129</f>
        <v>Donatie St. De Ronde Venen</v>
      </c>
      <c r="B35" s="220">
        <v>8</v>
      </c>
      <c r="C35" s="508">
        <f>'project 2018'!F235</f>
        <v>1500</v>
      </c>
      <c r="D35" s="214">
        <f>'fin overz 31 dec 2016'!J23</f>
        <v>1500</v>
      </c>
      <c r="E35" s="39"/>
      <c r="F35" s="39" t="s">
        <v>83</v>
      </c>
      <c r="G35" s="150">
        <v>7</v>
      </c>
      <c r="H35" s="235">
        <f>-'project 2018'!F203</f>
        <v>718.76</v>
      </c>
      <c r="I35" s="216">
        <f>-'project 2016'!F119</f>
        <v>17241.690000000002</v>
      </c>
      <c r="J35" s="253"/>
      <c r="K35" s="252"/>
      <c r="L35" s="150"/>
      <c r="M35" s="150"/>
      <c r="N35" s="150"/>
      <c r="O35" s="235"/>
      <c r="P35" s="235"/>
      <c r="Q35" s="401"/>
      <c r="R35" s="495"/>
      <c r="S35" s="235"/>
      <c r="T35" s="235"/>
      <c r="U35" s="150"/>
    </row>
    <row r="36" spans="1:21" ht="12.75">
      <c r="A36" s="389" t="str">
        <f>'project 2016'!C139</f>
        <v>Donatie Oranje Fonds</v>
      </c>
      <c r="B36" s="220">
        <v>9</v>
      </c>
      <c r="C36" s="508">
        <f>'project 2018'!F255</f>
        <v>0</v>
      </c>
      <c r="D36" s="214">
        <f>'fin overz 31 dec 2016'!J24</f>
        <v>200</v>
      </c>
      <c r="E36" s="331"/>
      <c r="F36" s="322" t="str">
        <f>'project 2016'!C132</f>
        <v>stimuler.bijdr NME ODRU</v>
      </c>
      <c r="G36" s="220">
        <v>8</v>
      </c>
      <c r="H36" s="220"/>
      <c r="I36" s="216">
        <f>-'project 2016'!F132</f>
        <v>1500</v>
      </c>
      <c r="J36" s="253"/>
      <c r="K36" s="252"/>
      <c r="L36" s="150"/>
      <c r="M36" s="150"/>
      <c r="N36" s="150"/>
      <c r="O36" s="235"/>
      <c r="P36" s="235"/>
      <c r="Q36" s="401"/>
      <c r="R36" s="495"/>
      <c r="S36" s="235"/>
      <c r="T36" s="235"/>
      <c r="U36" s="150"/>
    </row>
    <row r="37" spans="1:21" ht="12.75">
      <c r="A37" s="389" t="str">
        <f>'project 2016'!C147</f>
        <v>Donatie Rotary Vinkenveen</v>
      </c>
      <c r="B37" s="220">
        <v>10</v>
      </c>
      <c r="C37" s="508">
        <f>'project 2018'!F276</f>
        <v>0.009999999999990905</v>
      </c>
      <c r="D37" s="214">
        <f>'fin overz 31 dec 2016'!J25</f>
        <v>300</v>
      </c>
      <c r="E37" s="331"/>
      <c r="F37" s="322" t="str">
        <f>'project 2016'!C140</f>
        <v>Div kosten/ decl Overgaag</v>
      </c>
      <c r="G37" s="220">
        <v>9</v>
      </c>
      <c r="H37" s="220"/>
      <c r="I37" s="267">
        <f>-'project 2016'!F140</f>
        <v>151.34</v>
      </c>
      <c r="J37" s="253"/>
      <c r="K37" s="252"/>
      <c r="L37" s="150"/>
      <c r="M37" s="150"/>
      <c r="N37" s="150"/>
      <c r="O37" s="235"/>
      <c r="P37" s="235"/>
      <c r="Q37" s="401"/>
      <c r="R37" s="495"/>
      <c r="S37" s="235"/>
      <c r="T37" s="235"/>
      <c r="U37" s="150"/>
    </row>
    <row r="38" spans="1:21" ht="12.75">
      <c r="A38" s="389" t="str">
        <f>'project 2016'!C159</f>
        <v>Donatie Johnson 10 jarig bestaan</v>
      </c>
      <c r="B38" s="220">
        <v>11</v>
      </c>
      <c r="C38" s="508">
        <f>'project 2018'!F299</f>
        <v>9982.28</v>
      </c>
      <c r="D38" s="214">
        <f>'fin overz 31 dec 2016'!J26</f>
        <v>10000</v>
      </c>
      <c r="E38" s="24"/>
      <c r="F38" s="322" t="str">
        <f>'project 2016'!C150</f>
        <v>bijdrage leskist water,etc, ODRU</v>
      </c>
      <c r="G38" s="220">
        <v>10</v>
      </c>
      <c r="H38" s="220"/>
      <c r="I38" s="216">
        <f>-'project 2016'!F150</f>
        <v>300.01</v>
      </c>
      <c r="J38" s="121"/>
      <c r="K38" s="121"/>
      <c r="L38" s="224"/>
      <c r="M38" s="224"/>
      <c r="N38" s="220"/>
      <c r="O38" s="235"/>
      <c r="P38" s="235"/>
      <c r="Q38" s="401"/>
      <c r="R38" s="495"/>
      <c r="S38" s="235"/>
      <c r="T38" s="235"/>
      <c r="U38" s="150"/>
    </row>
    <row r="39" spans="1:21" ht="12.75">
      <c r="A39" s="213" t="s">
        <v>305</v>
      </c>
      <c r="B39" s="220">
        <v>12</v>
      </c>
      <c r="C39" s="508">
        <f>'project 2018'!F353</f>
        <v>2000</v>
      </c>
      <c r="D39" s="39"/>
      <c r="E39" s="331"/>
      <c r="F39" s="24" t="str">
        <f>'project 2018'!B280</f>
        <v>25 jarig bestaan</v>
      </c>
      <c r="G39" s="24">
        <v>11</v>
      </c>
      <c r="H39" s="214">
        <f>-'project 2018'!F326</f>
        <v>18605.950000000004</v>
      </c>
      <c r="I39" s="58"/>
      <c r="L39" s="224"/>
      <c r="M39" s="224"/>
      <c r="N39" s="220"/>
      <c r="O39" s="235"/>
      <c r="P39" s="224"/>
      <c r="Q39" s="402"/>
      <c r="R39" s="496"/>
      <c r="S39" s="235"/>
      <c r="T39" s="235"/>
      <c r="U39" s="150"/>
    </row>
    <row r="40" spans="1:21" ht="12.75">
      <c r="A40" s="238"/>
      <c r="B40" s="224"/>
      <c r="C40" s="224"/>
      <c r="D40" s="224"/>
      <c r="E40" s="331"/>
      <c r="F40" s="24" t="str">
        <f>'project 2018'!B351</f>
        <v>Stimulering NME</v>
      </c>
      <c r="G40" s="24">
        <v>12</v>
      </c>
      <c r="H40" s="214">
        <f>-'project 2018'!F358</f>
        <v>1074</v>
      </c>
      <c r="I40" s="58"/>
      <c r="L40" s="224"/>
      <c r="M40" s="224"/>
      <c r="N40" s="220"/>
      <c r="O40" s="235"/>
      <c r="P40" s="235"/>
      <c r="Q40" s="401"/>
      <c r="R40" s="495"/>
      <c r="S40" s="235"/>
      <c r="T40" s="235"/>
      <c r="U40" s="150"/>
    </row>
    <row r="41" spans="1:21" ht="12.75">
      <c r="A41" s="238"/>
      <c r="B41" s="224"/>
      <c r="C41" s="224"/>
      <c r="D41" s="224"/>
      <c r="E41" s="331"/>
      <c r="F41" s="39" t="s">
        <v>190</v>
      </c>
      <c r="G41" s="39"/>
      <c r="H41" s="39"/>
      <c r="I41" s="212"/>
      <c r="L41" s="224"/>
      <c r="M41" s="224"/>
      <c r="N41" s="220"/>
      <c r="O41" s="235"/>
      <c r="P41" s="235"/>
      <c r="Q41" s="401"/>
      <c r="R41" s="495"/>
      <c r="S41" s="252"/>
      <c r="T41" s="252"/>
      <c r="U41" s="150"/>
    </row>
    <row r="42" spans="1:21" ht="12.75">
      <c r="A42" s="238"/>
      <c r="B42" s="224"/>
      <c r="C42" s="224"/>
      <c r="D42" s="224"/>
      <c r="E42" s="331"/>
      <c r="F42" s="39" t="s">
        <v>195</v>
      </c>
      <c r="G42" s="39"/>
      <c r="H42" s="39"/>
      <c r="I42" s="212"/>
      <c r="L42" s="150"/>
      <c r="M42" s="150"/>
      <c r="N42" s="150"/>
      <c r="O42" s="150"/>
      <c r="P42" s="235"/>
      <c r="Q42" s="401"/>
      <c r="R42" s="495"/>
      <c r="S42" s="252"/>
      <c r="T42" s="150"/>
      <c r="U42" s="150"/>
    </row>
    <row r="43" spans="1:21" ht="12.75">
      <c r="A43" s="26"/>
      <c r="B43" s="24"/>
      <c r="C43" s="24"/>
      <c r="D43" s="24"/>
      <c r="E43" s="331"/>
      <c r="F43" s="24"/>
      <c r="G43" s="24"/>
      <c r="H43" s="24"/>
      <c r="I43" s="58"/>
      <c r="L43" s="150"/>
      <c r="M43" s="150"/>
      <c r="N43" s="150"/>
      <c r="O43" s="150"/>
      <c r="P43" s="235"/>
      <c r="Q43" s="401"/>
      <c r="R43" s="495"/>
      <c r="S43" s="252"/>
      <c r="T43" s="150"/>
      <c r="U43" s="150"/>
    </row>
    <row r="44" spans="1:21" ht="12.75">
      <c r="A44" s="407" t="s">
        <v>219</v>
      </c>
      <c r="B44" s="408"/>
      <c r="C44" s="409">
        <f>SUM(C31:C43)</f>
        <v>13800.630000000001</v>
      </c>
      <c r="D44" s="409">
        <f>SUM(D31:D43)</f>
        <v>33654.95</v>
      </c>
      <c r="E44" s="372"/>
      <c r="F44" s="408" t="s">
        <v>218</v>
      </c>
      <c r="G44" s="408"/>
      <c r="H44" s="409">
        <f>SUM(H30:H42)</f>
        <v>22890.170000000006</v>
      </c>
      <c r="I44" s="519">
        <f>SUM(I30:I42)</f>
        <v>20253.96</v>
      </c>
      <c r="L44" s="150"/>
      <c r="M44" s="150"/>
      <c r="N44" s="150"/>
      <c r="O44" s="150"/>
      <c r="P44" s="235"/>
      <c r="Q44" s="401"/>
      <c r="R44" s="495"/>
      <c r="S44" s="235"/>
      <c r="T44" s="150"/>
      <c r="U44" s="150"/>
    </row>
    <row r="45" spans="1:21" ht="15">
      <c r="A45" s="26"/>
      <c r="B45" s="24"/>
      <c r="C45" s="24"/>
      <c r="D45" s="24"/>
      <c r="E45" s="331"/>
      <c r="F45" s="391" t="s">
        <v>309</v>
      </c>
      <c r="G45" s="24"/>
      <c r="H45" s="392">
        <f>C44-H44</f>
        <v>-9089.540000000005</v>
      </c>
      <c r="I45" s="58"/>
      <c r="L45" s="150"/>
      <c r="M45" s="150"/>
      <c r="N45" s="150"/>
      <c r="O45" s="150"/>
      <c r="P45" s="227"/>
      <c r="Q45" s="403"/>
      <c r="R45" s="497"/>
      <c r="S45" s="227"/>
      <c r="T45" s="150"/>
      <c r="U45" s="150"/>
    </row>
    <row r="46" spans="1:21" ht="12.75">
      <c r="A46" s="213"/>
      <c r="B46" s="24"/>
      <c r="C46" s="24"/>
      <c r="D46" s="24"/>
      <c r="E46" s="331"/>
      <c r="F46" s="39" t="s">
        <v>310</v>
      </c>
      <c r="G46" s="39"/>
      <c r="H46" s="39"/>
      <c r="I46" s="267">
        <f>D44-I44</f>
        <v>13400.989999999998</v>
      </c>
      <c r="L46" s="150"/>
      <c r="M46" s="150"/>
      <c r="N46" s="150"/>
      <c r="O46" s="150"/>
      <c r="P46" s="150"/>
      <c r="Q46" s="401"/>
      <c r="R46" s="495"/>
      <c r="S46" s="150"/>
      <c r="T46" s="150"/>
      <c r="U46" s="150"/>
    </row>
    <row r="47" spans="1:17" ht="13.5" thickBot="1">
      <c r="A47" s="373"/>
      <c r="B47" s="374"/>
      <c r="C47" s="374"/>
      <c r="D47" s="374"/>
      <c r="E47" s="377"/>
      <c r="F47" s="374"/>
      <c r="G47" s="374"/>
      <c r="H47" s="374"/>
      <c r="I47" s="520"/>
      <c r="Q47" s="393"/>
    </row>
    <row r="48" spans="1:17" ht="14.25" thickTop="1">
      <c r="A48" s="49"/>
      <c r="B48" s="20"/>
      <c r="C48" s="20"/>
      <c r="D48" s="20"/>
      <c r="E48" s="365"/>
      <c r="F48" s="24"/>
      <c r="G48" s="24"/>
      <c r="H48" s="24"/>
      <c r="I48" s="58"/>
      <c r="Q48" s="393"/>
    </row>
    <row r="49" spans="1:17" ht="15">
      <c r="A49" s="906" t="s">
        <v>200</v>
      </c>
      <c r="B49" s="907"/>
      <c r="C49" s="907"/>
      <c r="D49" s="907"/>
      <c r="E49" s="907"/>
      <c r="F49" s="907"/>
      <c r="G49" s="907"/>
      <c r="H49" s="907"/>
      <c r="I49" s="908"/>
      <c r="Q49" s="393"/>
    </row>
    <row r="50" spans="1:17" ht="13.5">
      <c r="A50" s="380"/>
      <c r="B50" s="381"/>
      <c r="C50" s="381"/>
      <c r="D50" s="381"/>
      <c r="E50" s="365"/>
      <c r="F50" s="24"/>
      <c r="G50" s="24"/>
      <c r="H50" s="24"/>
      <c r="I50" s="58"/>
      <c r="Q50" s="393"/>
    </row>
    <row r="51" spans="1:17" ht="12.75">
      <c r="A51" s="909" t="s">
        <v>201</v>
      </c>
      <c r="B51" s="910"/>
      <c r="C51" s="910"/>
      <c r="D51" s="910"/>
      <c r="E51" s="910"/>
      <c r="F51" s="910"/>
      <c r="G51" s="910"/>
      <c r="H51" s="910"/>
      <c r="I51" s="911"/>
      <c r="Q51" s="393"/>
    </row>
    <row r="52" spans="1:17" ht="14.25" thickBot="1">
      <c r="A52" s="382"/>
      <c r="B52" s="383"/>
      <c r="C52" s="383"/>
      <c r="D52" s="383"/>
      <c r="E52" s="385"/>
      <c r="F52" s="351"/>
      <c r="G52" s="351"/>
      <c r="H52" s="351"/>
      <c r="I52" s="386"/>
      <c r="Q52" s="393"/>
    </row>
    <row r="53" spans="5:17" ht="13.5">
      <c r="E53" s="387"/>
      <c r="Q53" s="393"/>
    </row>
  </sheetData>
  <sheetProtection/>
  <mergeCells count="4">
    <mergeCell ref="A4:I4"/>
    <mergeCell ref="A27:I27"/>
    <mergeCell ref="A49:I49"/>
    <mergeCell ref="A51:I51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7">
      <selection activeCell="C18" sqref="C18"/>
    </sheetView>
  </sheetViews>
  <sheetFormatPr defaultColWidth="9.140625" defaultRowHeight="12.75"/>
  <cols>
    <col min="1" max="1" width="33.421875" style="0" customWidth="1"/>
    <col min="2" max="2" width="6.28125" style="0" customWidth="1"/>
    <col min="3" max="3" width="19.8515625" style="0" customWidth="1"/>
    <col min="4" max="4" width="14.8515625" style="0" customWidth="1"/>
    <col min="5" max="5" width="11.28125" style="0" customWidth="1"/>
    <col min="6" max="6" width="1.28515625" style="0" customWidth="1"/>
    <col min="7" max="7" width="35.00390625" style="0" customWidth="1"/>
    <col min="8" max="8" width="3.7109375" style="0" customWidth="1"/>
    <col min="9" max="9" width="15.140625" style="0" customWidth="1"/>
    <col min="10" max="10" width="14.57421875" style="0" customWidth="1"/>
    <col min="11" max="11" width="11.28125" style="0" customWidth="1"/>
    <col min="12" max="12" width="2.8515625" style="0" customWidth="1"/>
    <col min="13" max="13" width="3.00390625" style="0" customWidth="1"/>
    <col min="14" max="14" width="47.421875" style="0" customWidth="1"/>
    <col min="15" max="15" width="14.8515625" style="0" customWidth="1"/>
    <col min="16" max="16" width="1.7109375" style="0" customWidth="1"/>
    <col min="17" max="17" width="35.00390625" style="0" customWidth="1"/>
    <col min="18" max="18" width="4.140625" style="393" customWidth="1"/>
    <col min="19" max="19" width="14.57421875" style="0" customWidth="1"/>
    <col min="20" max="20" width="14.00390625" style="0" customWidth="1"/>
  </cols>
  <sheetData>
    <row r="1" spans="1:11" ht="31.5" customHeight="1" thickBot="1">
      <c r="A1" s="294" t="s">
        <v>168</v>
      </c>
      <c r="B1" s="295"/>
      <c r="C1" s="295"/>
      <c r="D1" s="295"/>
      <c r="E1" s="295"/>
      <c r="F1" s="296"/>
      <c r="G1" s="297"/>
      <c r="H1" s="297"/>
      <c r="I1" s="297"/>
      <c r="J1" s="297"/>
      <c r="K1" s="298"/>
    </row>
    <row r="2" spans="1:19" ht="21" thickBot="1">
      <c r="A2" s="454" t="s">
        <v>202</v>
      </c>
      <c r="B2" s="299"/>
      <c r="C2" s="299"/>
      <c r="D2" s="95" t="s">
        <v>169</v>
      </c>
      <c r="E2" s="95"/>
      <c r="F2" s="300"/>
      <c r="G2" s="301"/>
      <c r="H2" s="301"/>
      <c r="I2" s="301"/>
      <c r="J2" s="302"/>
      <c r="K2" s="303"/>
      <c r="N2" s="454" t="s">
        <v>212</v>
      </c>
      <c r="O2" s="304"/>
      <c r="P2" s="304"/>
      <c r="Q2" s="304"/>
      <c r="R2" s="394"/>
      <c r="S2" s="305"/>
    </row>
    <row r="3" spans="1:20" ht="15">
      <c r="A3" s="306"/>
      <c r="B3" s="307"/>
      <c r="C3" s="307"/>
      <c r="D3" s="307"/>
      <c r="E3" s="307"/>
      <c r="F3" s="308"/>
      <c r="G3" s="309"/>
      <c r="H3" s="309"/>
      <c r="I3" s="309"/>
      <c r="J3" s="309"/>
      <c r="K3" s="298"/>
      <c r="N3" s="310"/>
      <c r="O3" s="311"/>
      <c r="P3" s="312"/>
      <c r="Q3" s="313"/>
      <c r="R3" s="395"/>
      <c r="S3" s="314"/>
      <c r="T3" s="8" t="s">
        <v>170</v>
      </c>
    </row>
    <row r="4" spans="1:20" ht="15">
      <c r="A4" s="900" t="s">
        <v>171</v>
      </c>
      <c r="B4" s="901"/>
      <c r="C4" s="901"/>
      <c r="D4" s="901"/>
      <c r="E4" s="901"/>
      <c r="F4" s="901"/>
      <c r="G4" s="901"/>
      <c r="H4" s="901"/>
      <c r="I4" s="901"/>
      <c r="J4" s="901"/>
      <c r="K4" s="902"/>
      <c r="N4" s="315"/>
      <c r="O4" s="313"/>
      <c r="P4" s="314"/>
      <c r="Q4" s="313"/>
      <c r="R4" s="395"/>
      <c r="S4" s="314"/>
      <c r="T4" s="8" t="s">
        <v>172</v>
      </c>
    </row>
    <row r="5" spans="1:25" ht="15">
      <c r="A5" s="316" t="s">
        <v>173</v>
      </c>
      <c r="B5" s="48"/>
      <c r="C5" s="48"/>
      <c r="D5" s="48"/>
      <c r="E5" s="39"/>
      <c r="F5" s="33"/>
      <c r="G5" s="317" t="s">
        <v>174</v>
      </c>
      <c r="H5" s="317"/>
      <c r="I5" s="317"/>
      <c r="J5" s="317"/>
      <c r="K5" s="318"/>
      <c r="N5" s="319" t="s">
        <v>175</v>
      </c>
      <c r="O5" s="320"/>
      <c r="P5" s="321"/>
      <c r="Q5" s="320" t="s">
        <v>176</v>
      </c>
      <c r="R5" s="396"/>
      <c r="S5" s="314"/>
      <c r="T5" s="8" t="s">
        <v>177</v>
      </c>
      <c r="U5" s="150"/>
      <c r="V5" s="150"/>
      <c r="W5" s="150"/>
      <c r="X5" s="150"/>
      <c r="Y5" s="150"/>
    </row>
    <row r="6" spans="1:25" ht="15">
      <c r="A6" s="213"/>
      <c r="B6" s="39"/>
      <c r="C6" s="322">
        <v>42735</v>
      </c>
      <c r="D6" s="323">
        <v>42369</v>
      </c>
      <c r="E6" s="323">
        <v>42004</v>
      </c>
      <c r="F6" s="33"/>
      <c r="G6" s="324"/>
      <c r="H6" s="324"/>
      <c r="I6" s="323">
        <v>42735</v>
      </c>
      <c r="J6" s="323">
        <v>42369</v>
      </c>
      <c r="K6" s="325">
        <v>42004</v>
      </c>
      <c r="N6" s="315"/>
      <c r="O6" s="326"/>
      <c r="P6" s="314"/>
      <c r="Q6" s="313"/>
      <c r="R6" s="395"/>
      <c r="S6" s="314"/>
      <c r="U6" s="150"/>
      <c r="V6" s="150"/>
      <c r="W6" s="235"/>
      <c r="X6" s="235"/>
      <c r="Y6" s="150"/>
    </row>
    <row r="7" spans="1:25" ht="15">
      <c r="A7" s="213"/>
      <c r="B7" s="39"/>
      <c r="C7" s="39"/>
      <c r="D7" s="24"/>
      <c r="E7" s="39"/>
      <c r="F7" s="33"/>
      <c r="G7" s="324"/>
      <c r="H7" s="324"/>
      <c r="I7" s="324"/>
      <c r="J7" s="24"/>
      <c r="K7" s="212"/>
      <c r="N7" s="327" t="s">
        <v>70</v>
      </c>
      <c r="O7" s="328">
        <f>C8</f>
        <v>389.69</v>
      </c>
      <c r="P7" s="329"/>
      <c r="Q7" s="330" t="str">
        <f>'fin overz 31 dec 2016'!E16</f>
        <v>*Tuinwerkgroep</v>
      </c>
      <c r="R7" s="397">
        <f>'fin overz 31 dec 2016'!F16</f>
        <v>1</v>
      </c>
      <c r="S7" s="328">
        <f>'fin overz 31 dec 2016'!H16</f>
        <v>389.68999999999994</v>
      </c>
      <c r="U7" s="150"/>
      <c r="V7" s="150"/>
      <c r="W7" s="235"/>
      <c r="X7" s="235"/>
      <c r="Y7" s="150"/>
    </row>
    <row r="8" spans="1:25" ht="15">
      <c r="A8" s="213" t="s">
        <v>213</v>
      </c>
      <c r="B8" s="39"/>
      <c r="C8" s="215">
        <f>'fin overz 31 dec 2016'!C16</f>
        <v>389.69</v>
      </c>
      <c r="D8" s="215">
        <f>'[2]begr res  15'!H32</f>
        <v>696.17</v>
      </c>
      <c r="E8" s="24"/>
      <c r="F8" s="33"/>
      <c r="G8" s="388" t="s">
        <v>204</v>
      </c>
      <c r="H8" s="388"/>
      <c r="I8" s="388">
        <f>-SUM(I10:I20)+I23</f>
        <v>704.310000000005</v>
      </c>
      <c r="J8" s="215">
        <f>-(SUM(J10:J16)-J23)</f>
        <v>-545.6700000000001</v>
      </c>
      <c r="K8" s="267">
        <f>-SUM(K10:K17)+K23</f>
        <v>158.26000000000022</v>
      </c>
      <c r="N8" s="327" t="s">
        <v>215</v>
      </c>
      <c r="O8" s="328">
        <f>C9</f>
        <v>14080.15</v>
      </c>
      <c r="P8" s="329"/>
      <c r="Q8" s="330" t="str">
        <f>'fin overz 31 dec 2016'!E17</f>
        <v>*Te besteden voor tuin </v>
      </c>
      <c r="R8" s="397">
        <f>'fin overz 31 dec 2016'!F17</f>
        <v>2</v>
      </c>
      <c r="S8" s="328">
        <f>'fin overz 31 dec 2016'!H17</f>
        <v>598.1699999999998</v>
      </c>
      <c r="U8" s="150"/>
      <c r="V8" s="150"/>
      <c r="W8" s="235"/>
      <c r="X8" s="235"/>
      <c r="Y8" s="150"/>
    </row>
    <row r="9" spans="1:25" ht="15">
      <c r="A9" s="213" t="s">
        <v>178</v>
      </c>
      <c r="B9" s="39"/>
      <c r="C9" s="215">
        <f>'fin overz 31 dec 2016'!C17</f>
        <v>14080.15</v>
      </c>
      <c r="D9" s="215">
        <f>'[2]begr res  15'!H33</f>
        <v>5580.99</v>
      </c>
      <c r="E9" s="24"/>
      <c r="F9" s="33"/>
      <c r="G9" s="331"/>
      <c r="H9" s="331"/>
      <c r="I9" s="331"/>
      <c r="J9" s="24"/>
      <c r="K9" s="267"/>
      <c r="N9" s="327" t="s">
        <v>73</v>
      </c>
      <c r="O9" s="328">
        <f>C12</f>
        <v>7708.3099999999995</v>
      </c>
      <c r="P9" s="329"/>
      <c r="Q9" s="330" t="str">
        <f>'fin overz 31 dec 2016'!E18</f>
        <v>*Te besteden voor algemene publieksact.</v>
      </c>
      <c r="R9" s="397">
        <f>'fin overz 31 dec 2016'!F18</f>
        <v>3</v>
      </c>
      <c r="S9" s="328">
        <f>'fin overz 31 dec 2016'!H18</f>
        <v>0.6300000000002228</v>
      </c>
      <c r="U9" s="150"/>
      <c r="V9" s="150"/>
      <c r="W9" s="235"/>
      <c r="X9" s="235"/>
      <c r="Y9" s="150"/>
    </row>
    <row r="10" spans="1:25" ht="15">
      <c r="A10" s="26" t="str">
        <f>'fin overz 31 dec 2016'!B18</f>
        <v>(1) verkoop 50 dingen boekje 445,-</v>
      </c>
      <c r="B10" s="24"/>
      <c r="C10" s="24"/>
      <c r="D10" s="24"/>
      <c r="E10" s="215"/>
      <c r="F10" s="33"/>
      <c r="G10" s="331" t="s">
        <v>179</v>
      </c>
      <c r="H10" s="189">
        <f>'fin overz 31 dec 2016'!F16</f>
        <v>1</v>
      </c>
      <c r="I10" s="331">
        <f>'fin overz 31 dec 2016'!H16</f>
        <v>389.68999999999994</v>
      </c>
      <c r="J10" s="215">
        <f>'[2]begr res  15'!I11</f>
        <v>696.17</v>
      </c>
      <c r="K10" s="267">
        <v>692.38</v>
      </c>
      <c r="M10" s="132"/>
      <c r="N10" s="327" t="s">
        <v>216</v>
      </c>
      <c r="O10" s="328">
        <v>2000</v>
      </c>
      <c r="P10" s="329"/>
      <c r="Q10" s="330" t="str">
        <f>'fin overz 31 dec 2016'!E19</f>
        <v>*Reservering diversen</v>
      </c>
      <c r="R10" s="397">
        <f>'fin overz 31 dec 2016'!F19</f>
        <v>4</v>
      </c>
      <c r="S10" s="328">
        <f>'fin overz 31 dec 2016'!H19</f>
        <v>99.23000000000008</v>
      </c>
      <c r="U10" s="150"/>
      <c r="V10" s="150"/>
      <c r="W10" s="235"/>
      <c r="X10" s="235"/>
      <c r="Y10" s="150"/>
    </row>
    <row r="11" spans="1:25" ht="15">
      <c r="A11" s="26"/>
      <c r="B11" s="24"/>
      <c r="C11" s="24"/>
      <c r="D11" s="24"/>
      <c r="E11" s="215"/>
      <c r="F11" s="33"/>
      <c r="G11" s="331" t="s">
        <v>72</v>
      </c>
      <c r="H11" s="189">
        <f>'fin overz 31 dec 2016'!F17</f>
        <v>2</v>
      </c>
      <c r="I11" s="331">
        <f>'fin overz 31 dec 2016'!H17</f>
        <v>598.1699999999998</v>
      </c>
      <c r="J11" s="215">
        <f>'[2]begr res  15'!G12</f>
        <v>598.17</v>
      </c>
      <c r="K11" s="267">
        <v>780.78</v>
      </c>
      <c r="N11" s="327"/>
      <c r="O11" s="328"/>
      <c r="P11" s="329"/>
      <c r="Q11" s="330" t="str">
        <f>'fin overz 31 dec 2016'!E20</f>
        <v>*Te besteden voor tentoonstelling</v>
      </c>
      <c r="R11" s="397">
        <f>'fin overz 31 dec 2016'!F20</f>
        <v>5</v>
      </c>
      <c r="S11" s="328">
        <f>'fin overz 31 dec 2016'!H20</f>
        <v>2084</v>
      </c>
      <c r="U11" s="150"/>
      <c r="V11" s="150"/>
      <c r="W11" s="235"/>
      <c r="X11" s="235"/>
      <c r="Y11" s="150"/>
    </row>
    <row r="12" spans="1:25" ht="15">
      <c r="A12" s="213" t="s">
        <v>73</v>
      </c>
      <c r="B12" s="39"/>
      <c r="C12" s="215">
        <f>'fin overz 31 dec 2016'!C20</f>
        <v>7708.3099999999995</v>
      </c>
      <c r="D12" s="215">
        <f>'[2]begr res  15'!H34</f>
        <v>2500</v>
      </c>
      <c r="E12" s="215"/>
      <c r="F12" s="33"/>
      <c r="G12" s="331" t="s">
        <v>74</v>
      </c>
      <c r="H12" s="189">
        <f>'fin overz 31 dec 2016'!F18</f>
        <v>3</v>
      </c>
      <c r="I12" s="331">
        <f>'fin overz 31 dec 2016'!H18</f>
        <v>0.6300000000002228</v>
      </c>
      <c r="J12" s="215">
        <f>'[2]begr res  15'!G13</f>
        <v>408.81</v>
      </c>
      <c r="K12" s="267">
        <v>767.14</v>
      </c>
      <c r="N12" s="327" t="s">
        <v>59</v>
      </c>
      <c r="O12" s="328">
        <v>5</v>
      </c>
      <c r="P12" s="329"/>
      <c r="Q12" s="330" t="str">
        <f>'fin overz 31 dec 2016'!E21</f>
        <v>*Te besteden herinrichting ruimte</v>
      </c>
      <c r="R12" s="397">
        <f>'fin overz 31 dec 2016'!F21</f>
        <v>6</v>
      </c>
      <c r="S12" s="328">
        <f>'fin overz 31 dec 2016'!H21</f>
        <v>100.1400000000001</v>
      </c>
      <c r="T12" s="132"/>
      <c r="U12" s="150"/>
      <c r="V12" s="150"/>
      <c r="W12" s="235"/>
      <c r="X12" s="235"/>
      <c r="Y12" s="150"/>
    </row>
    <row r="13" spans="1:25" ht="15">
      <c r="A13" s="412" t="str">
        <f>'fin overz 31 dec 2016'!B21</f>
        <v>(2) inclusief 445,- verkoop totaal 8153,31</v>
      </c>
      <c r="B13" s="214"/>
      <c r="C13" s="24"/>
      <c r="D13" s="24"/>
      <c r="E13" s="215"/>
      <c r="F13" s="33"/>
      <c r="G13" s="331" t="s">
        <v>75</v>
      </c>
      <c r="H13" s="189">
        <f>'fin overz 31 dec 2016'!F19</f>
        <v>4</v>
      </c>
      <c r="I13" s="331">
        <f>'fin overz 31 dec 2016'!H19</f>
        <v>99.23000000000008</v>
      </c>
      <c r="J13" s="215">
        <f>'[2]begr res  15'!G14</f>
        <v>218.95</v>
      </c>
      <c r="K13" s="267">
        <v>320.95</v>
      </c>
      <c r="N13" s="327" t="s">
        <v>180</v>
      </c>
      <c r="O13" s="328">
        <v>50</v>
      </c>
      <c r="P13" s="329"/>
      <c r="Q13" s="330" t="str">
        <f>'fin overz 31 dec 2016'!E22</f>
        <v>*Te besteden 50 dingen boekje</v>
      </c>
      <c r="R13" s="397">
        <f>'fin overz 31 dec 2016'!F22</f>
        <v>7</v>
      </c>
      <c r="S13" s="328">
        <f>'fin overz 31 dec 2016'!H22</f>
        <v>8153.309999999998</v>
      </c>
      <c r="U13" s="224"/>
      <c r="V13" s="220"/>
      <c r="W13" s="235"/>
      <c r="X13" s="235"/>
      <c r="Y13" s="150"/>
    </row>
    <row r="14" spans="1:25" ht="15">
      <c r="A14" s="26"/>
      <c r="B14" s="24"/>
      <c r="C14" s="24"/>
      <c r="D14" s="24"/>
      <c r="E14" s="24"/>
      <c r="F14" s="33"/>
      <c r="G14" s="331" t="s">
        <v>76</v>
      </c>
      <c r="H14" s="189">
        <f>'fin overz 31 dec 2016'!F20</f>
        <v>5</v>
      </c>
      <c r="I14" s="331">
        <f>'fin overz 31 dec 2016'!H20</f>
        <v>2084</v>
      </c>
      <c r="J14" s="215">
        <f>'[2]begr res  15'!G15</f>
        <v>2084</v>
      </c>
      <c r="K14" s="267">
        <v>2084</v>
      </c>
      <c r="N14" s="327" t="s">
        <v>214</v>
      </c>
      <c r="O14" s="328" t="s">
        <v>183</v>
      </c>
      <c r="P14" s="329"/>
      <c r="Q14" s="330" t="str">
        <f>'fin overz 31 dec 2016'!E23</f>
        <v>*Basisonderwijs/st. Ronde Venen fonds</v>
      </c>
      <c r="R14" s="397">
        <f>'fin overz 31 dec 2016'!F23</f>
        <v>8</v>
      </c>
      <c r="S14" s="328">
        <f>'fin overz 31 dec 2016'!H23</f>
        <v>0</v>
      </c>
      <c r="U14" s="224"/>
      <c r="V14" s="220"/>
      <c r="W14" s="235"/>
      <c r="X14" s="235"/>
      <c r="Y14" s="150"/>
    </row>
    <row r="15" spans="1:25" ht="15">
      <c r="A15" s="213" t="s">
        <v>181</v>
      </c>
      <c r="B15" s="39"/>
      <c r="C15" s="39"/>
      <c r="D15" s="24">
        <v>0</v>
      </c>
      <c r="E15" s="215">
        <v>4111.13</v>
      </c>
      <c r="F15" s="33"/>
      <c r="G15" s="331" t="s">
        <v>182</v>
      </c>
      <c r="H15" s="189">
        <f>'fin overz 31 dec 2016'!F21</f>
        <v>6</v>
      </c>
      <c r="I15" s="331">
        <f>'fin overz 31 dec 2016'!H21</f>
        <v>100.1400000000001</v>
      </c>
      <c r="J15" s="215">
        <f>'[2]begr res  15'!G16+'[2]begr res  15'!I16</f>
        <v>316.72999999999996</v>
      </c>
      <c r="K15" s="332"/>
      <c r="N15" s="327"/>
      <c r="O15" s="328"/>
      <c r="P15" s="329"/>
      <c r="Q15" s="330" t="str">
        <f>'fin overz 31 dec 2016'!E24</f>
        <v>*Stichting Doen/Oranjefonds</v>
      </c>
      <c r="R15" s="397">
        <f>'fin overz 31 dec 2016'!F24</f>
        <v>9</v>
      </c>
      <c r="S15" s="328">
        <f>'fin overz 31 dec 2016'!H24</f>
        <v>48.66</v>
      </c>
      <c r="U15" s="224"/>
      <c r="V15" s="220"/>
      <c r="W15" s="235"/>
      <c r="X15" s="235"/>
      <c r="Y15" s="150"/>
    </row>
    <row r="16" spans="1:25" ht="15">
      <c r="A16" s="213" t="s">
        <v>184</v>
      </c>
      <c r="B16" s="39"/>
      <c r="C16" s="39"/>
      <c r="D16" s="24">
        <v>0</v>
      </c>
      <c r="E16" s="215">
        <v>692.38</v>
      </c>
      <c r="F16" s="33"/>
      <c r="G16" s="331" t="s">
        <v>185</v>
      </c>
      <c r="H16" s="189">
        <f>'fin overz 31 dec 2016'!F22</f>
        <v>7</v>
      </c>
      <c r="I16" s="331">
        <f>'fin overz 31 dec 2016'!H22</f>
        <v>8153.309999999998</v>
      </c>
      <c r="J16" s="214">
        <v>5000</v>
      </c>
      <c r="K16" s="267"/>
      <c r="N16" s="327"/>
      <c r="O16" s="328"/>
      <c r="P16" s="329"/>
      <c r="Q16" s="330" t="str">
        <f>'fin overz 31 dec 2016'!E25</f>
        <v>*Rotary Vinkeveen</v>
      </c>
      <c r="R16" s="397">
        <f>'fin overz 31 dec 2016'!F25</f>
        <v>10</v>
      </c>
      <c r="S16" s="328">
        <f>'fin overz 31 dec 2016'!H25-'fin overz 31 dec 2016'!G25</f>
        <v>0.009999999999990905</v>
      </c>
      <c r="U16" s="224"/>
      <c r="V16" s="220"/>
      <c r="W16" s="235"/>
      <c r="X16" s="235"/>
      <c r="Y16" s="150"/>
    </row>
    <row r="17" spans="1:25" ht="15">
      <c r="A17" s="213"/>
      <c r="B17" s="39"/>
      <c r="C17" s="39"/>
      <c r="D17" s="24"/>
      <c r="E17" s="215"/>
      <c r="F17" s="33"/>
      <c r="G17" s="331" t="str">
        <f>'fin overz 31 dec 2016'!E23</f>
        <v>*Basisonderwijs/st. Ronde Venen fonds</v>
      </c>
      <c r="H17" s="189">
        <f>'fin overz 31 dec 2016'!F23</f>
        <v>8</v>
      </c>
      <c r="I17" s="331">
        <f>'fin overz 31 dec 2016'!H23</f>
        <v>0</v>
      </c>
      <c r="J17" s="214"/>
      <c r="K17" s="267"/>
      <c r="N17" s="327"/>
      <c r="O17" s="328"/>
      <c r="P17" s="329"/>
      <c r="Q17" s="330" t="str">
        <f>'fin overz 31 dec 2016'!E26</f>
        <v>*25 jarig bestaan</v>
      </c>
      <c r="R17" s="397">
        <f>'fin overz 31 dec 2016'!F26</f>
        <v>11</v>
      </c>
      <c r="S17" s="328">
        <f>'fin overz 31 dec 2016'!H26</f>
        <v>10000</v>
      </c>
      <c r="U17" s="150"/>
      <c r="V17" s="150"/>
      <c r="W17" s="150"/>
      <c r="X17" s="150"/>
      <c r="Y17" s="150"/>
    </row>
    <row r="18" spans="1:19" ht="15">
      <c r="A18" s="213"/>
      <c r="B18" s="39"/>
      <c r="C18" s="39"/>
      <c r="D18" s="24"/>
      <c r="E18" s="215"/>
      <c r="F18" s="33"/>
      <c r="G18" s="331" t="str">
        <f>'fin overz 31 dec 2016'!E24</f>
        <v>*Stichting Doen/Oranjefonds</v>
      </c>
      <c r="H18" s="189">
        <f>'fin overz 31 dec 2016'!F24</f>
        <v>9</v>
      </c>
      <c r="I18" s="331">
        <f>'fin overz 31 dec 2016'!H24</f>
        <v>48.66</v>
      </c>
      <c r="J18" s="24"/>
      <c r="K18" s="58"/>
      <c r="N18" s="327"/>
      <c r="O18" s="328"/>
      <c r="P18" s="329"/>
      <c r="Q18" s="453" t="s">
        <v>223</v>
      </c>
      <c r="R18" s="398">
        <v>13</v>
      </c>
      <c r="S18" s="328">
        <v>2000</v>
      </c>
    </row>
    <row r="19" spans="1:19" ht="15">
      <c r="A19" s="213"/>
      <c r="B19" s="39"/>
      <c r="C19" s="39"/>
      <c r="D19" s="24"/>
      <c r="E19" s="215"/>
      <c r="F19" s="33"/>
      <c r="G19" s="331" t="str">
        <f>'fin overz 31 dec 2016'!E25</f>
        <v>*Rotary Vinkeveen</v>
      </c>
      <c r="H19" s="189">
        <f>'fin overz 31 dec 2016'!F25</f>
        <v>10</v>
      </c>
      <c r="I19" s="331">
        <f>'fin overz 31 dec 2016'!H25-'fin overz 31 dec 2016'!G25</f>
        <v>0.009999999999990905</v>
      </c>
      <c r="J19" s="214"/>
      <c r="K19" s="267"/>
      <c r="N19" s="327"/>
      <c r="O19" s="328"/>
      <c r="P19" s="329"/>
      <c r="Q19" s="334"/>
      <c r="R19" s="398"/>
      <c r="S19" s="292"/>
    </row>
    <row r="20" spans="1:20" ht="15">
      <c r="A20" s="213"/>
      <c r="B20" s="39"/>
      <c r="C20" s="39"/>
      <c r="D20" s="24"/>
      <c r="E20" s="215"/>
      <c r="F20" s="33"/>
      <c r="G20" s="331" t="str">
        <f>'fin overz 31 dec 2016'!E26</f>
        <v>*25 jarig bestaan</v>
      </c>
      <c r="H20" s="189">
        <f>'fin overz 31 dec 2016'!F26</f>
        <v>11</v>
      </c>
      <c r="I20" s="331">
        <f>'fin overz 31 dec 2016'!H26</f>
        <v>10000</v>
      </c>
      <c r="J20" s="214"/>
      <c r="K20" s="267"/>
      <c r="N20" s="327"/>
      <c r="O20" s="328"/>
      <c r="P20" s="329"/>
      <c r="Q20" s="334"/>
      <c r="R20" s="398"/>
      <c r="S20" s="329"/>
      <c r="T20" s="132"/>
    </row>
    <row r="21" spans="1:20" ht="15">
      <c r="A21" s="213"/>
      <c r="B21" s="39"/>
      <c r="C21" s="39"/>
      <c r="D21" s="24"/>
      <c r="E21" s="215"/>
      <c r="F21" s="33"/>
      <c r="G21" s="331"/>
      <c r="H21" s="331"/>
      <c r="I21" s="331"/>
      <c r="J21" s="214"/>
      <c r="K21" s="267"/>
      <c r="N21" s="327"/>
      <c r="O21" s="328"/>
      <c r="P21" s="329"/>
      <c r="Q21" s="453" t="s">
        <v>224</v>
      </c>
      <c r="R21" s="398"/>
      <c r="S21" s="292">
        <f>SUM(S7:S20)</f>
        <v>23473.839999999997</v>
      </c>
      <c r="T21" s="132"/>
    </row>
    <row r="22" spans="1:20" ht="15.75" customHeight="1">
      <c r="A22" s="213"/>
      <c r="B22" s="39"/>
      <c r="C22" s="39"/>
      <c r="D22" s="335"/>
      <c r="E22" s="336"/>
      <c r="F22" s="337"/>
      <c r="G22" s="338"/>
      <c r="H22" s="338"/>
      <c r="I22" s="338"/>
      <c r="J22" s="335"/>
      <c r="K22" s="333"/>
      <c r="N22" s="327"/>
      <c r="O22" s="328"/>
      <c r="P22" s="329"/>
      <c r="Q22" s="330" t="s">
        <v>163</v>
      </c>
      <c r="R22" s="397"/>
      <c r="S22" s="292">
        <f>S23-S21</f>
        <v>759.310000000005</v>
      </c>
      <c r="T22" s="132"/>
    </row>
    <row r="23" spans="1:19" ht="15">
      <c r="A23" s="413" t="s">
        <v>205</v>
      </c>
      <c r="B23" s="339"/>
      <c r="C23" s="339">
        <f>SUM(C8:C22)</f>
        <v>22178.15</v>
      </c>
      <c r="D23" s="339">
        <f>SUM(D8:D22)</f>
        <v>8777.16</v>
      </c>
      <c r="E23" s="339">
        <f>SUM(E10:E16)</f>
        <v>4803.51</v>
      </c>
      <c r="F23" s="340"/>
      <c r="G23" s="341"/>
      <c r="H23" s="341"/>
      <c r="I23" s="339">
        <f>C23</f>
        <v>22178.15</v>
      </c>
      <c r="J23" s="342">
        <f>D23</f>
        <v>8777.16</v>
      </c>
      <c r="K23" s="343">
        <f>E23</f>
        <v>4803.51</v>
      </c>
      <c r="M23" s="132"/>
      <c r="N23" s="344" t="s">
        <v>79</v>
      </c>
      <c r="O23" s="345">
        <f>SUM(O7:O22)</f>
        <v>24233.15</v>
      </c>
      <c r="P23" s="346"/>
      <c r="Q23" s="347" t="s">
        <v>79</v>
      </c>
      <c r="R23" s="399"/>
      <c r="S23" s="348">
        <f>O23</f>
        <v>24233.15</v>
      </c>
    </row>
    <row r="24" spans="1:19" ht="15" thickBot="1">
      <c r="A24" s="349"/>
      <c r="B24" s="350"/>
      <c r="C24" s="350"/>
      <c r="D24" s="351"/>
      <c r="E24" s="350"/>
      <c r="F24" s="352"/>
      <c r="G24" s="350"/>
      <c r="H24" s="350"/>
      <c r="I24" s="350"/>
      <c r="J24" s="353"/>
      <c r="K24" s="354"/>
      <c r="N24" s="355" t="s">
        <v>225</v>
      </c>
      <c r="O24" s="356"/>
      <c r="P24" s="357"/>
      <c r="Q24" s="358"/>
      <c r="R24" s="400"/>
      <c r="S24" s="359"/>
    </row>
    <row r="25" spans="1:14" ht="15" thickBot="1">
      <c r="A25" s="349"/>
      <c r="B25" s="350"/>
      <c r="C25" s="350"/>
      <c r="D25" s="350"/>
      <c r="E25" s="350"/>
      <c r="F25" s="352"/>
      <c r="G25" s="350"/>
      <c r="H25" s="350"/>
      <c r="I25" s="350"/>
      <c r="J25" s="360"/>
      <c r="K25" s="354"/>
      <c r="N25" s="327"/>
    </row>
    <row r="26" spans="1:14" ht="15">
      <c r="A26" s="210"/>
      <c r="B26" s="37"/>
      <c r="C26" s="37"/>
      <c r="D26" s="37"/>
      <c r="E26" s="307"/>
      <c r="F26" s="308"/>
      <c r="G26" s="307"/>
      <c r="H26" s="307"/>
      <c r="I26" s="307"/>
      <c r="J26" s="307"/>
      <c r="K26" s="361"/>
      <c r="N26" s="327" t="s">
        <v>186</v>
      </c>
    </row>
    <row r="27" spans="1:14" ht="15">
      <c r="A27" s="900" t="s">
        <v>187</v>
      </c>
      <c r="B27" s="901"/>
      <c r="C27" s="901"/>
      <c r="D27" s="901"/>
      <c r="E27" s="901"/>
      <c r="F27" s="901"/>
      <c r="G27" s="901"/>
      <c r="H27" s="901"/>
      <c r="I27" s="901"/>
      <c r="J27" s="901"/>
      <c r="K27" s="902"/>
      <c r="N27" t="s">
        <v>188</v>
      </c>
    </row>
    <row r="28" spans="1:25" ht="17.25">
      <c r="A28" s="362" t="s">
        <v>175</v>
      </c>
      <c r="B28" s="363"/>
      <c r="C28" s="363"/>
      <c r="D28" s="363"/>
      <c r="E28" s="364"/>
      <c r="F28" s="365"/>
      <c r="G28" s="317" t="s">
        <v>176</v>
      </c>
      <c r="H28" s="317"/>
      <c r="I28" s="317"/>
      <c r="J28" s="317"/>
      <c r="K28" s="366"/>
      <c r="N28" s="150"/>
      <c r="O28" s="150"/>
      <c r="P28" s="150"/>
      <c r="Q28" s="150"/>
      <c r="R28" s="401"/>
      <c r="S28" s="150"/>
      <c r="T28" s="150"/>
      <c r="U28" s="150"/>
      <c r="V28" s="150"/>
      <c r="W28" s="150"/>
      <c r="X28" s="150"/>
      <c r="Y28" s="150"/>
    </row>
    <row r="29" spans="1:25" ht="12.75">
      <c r="A29" s="26"/>
      <c r="B29" s="24"/>
      <c r="C29" s="24">
        <v>2016</v>
      </c>
      <c r="D29" s="24">
        <v>2015</v>
      </c>
      <c r="E29" s="367">
        <v>2014</v>
      </c>
      <c r="F29" s="368"/>
      <c r="G29" s="24"/>
      <c r="H29" s="24"/>
      <c r="I29" s="150">
        <v>2016</v>
      </c>
      <c r="J29" s="24">
        <v>2015</v>
      </c>
      <c r="K29" s="369">
        <v>2014</v>
      </c>
      <c r="N29" s="150"/>
      <c r="O29" s="150"/>
      <c r="P29" s="150"/>
      <c r="Q29" s="150"/>
      <c r="R29" s="401"/>
      <c r="S29" s="150"/>
      <c r="T29" s="150"/>
      <c r="U29" s="150"/>
      <c r="V29" s="150"/>
      <c r="W29" s="150"/>
      <c r="X29" s="150"/>
      <c r="Y29" s="150"/>
    </row>
    <row r="30" spans="1:25" ht="13.5">
      <c r="A30" s="49"/>
      <c r="B30" s="20"/>
      <c r="C30" s="20"/>
      <c r="D30" s="24"/>
      <c r="E30" s="20"/>
      <c r="F30" s="24"/>
      <c r="G30" s="39" t="s">
        <v>210</v>
      </c>
      <c r="H30" s="20">
        <f>'fin overz 31 dec 2016'!F16</f>
        <v>1</v>
      </c>
      <c r="I30" s="390">
        <f>-'fin overz 31 dec 2016'!I16</f>
        <v>308.65</v>
      </c>
      <c r="J30" s="215">
        <f>-'[2]begr res  15'!H12</f>
        <v>182.61</v>
      </c>
      <c r="K30" s="267"/>
      <c r="N30" s="150"/>
      <c r="O30" s="150"/>
      <c r="P30" s="235"/>
      <c r="Q30" s="235"/>
      <c r="R30" s="401"/>
      <c r="S30" s="235"/>
      <c r="T30" s="235"/>
      <c r="U30" s="150"/>
      <c r="V30" s="150"/>
      <c r="W30" s="150"/>
      <c r="X30" s="150"/>
      <c r="Y30" s="150"/>
    </row>
    <row r="31" spans="1:25" ht="12.75">
      <c r="A31" s="213" t="s">
        <v>194</v>
      </c>
      <c r="B31" s="224" t="s">
        <v>206</v>
      </c>
      <c r="C31" s="215">
        <f>'project 2016'!F11+'project 2016'!F52</f>
        <v>9.95</v>
      </c>
      <c r="D31" s="215">
        <v>3.79</v>
      </c>
      <c r="E31" s="215">
        <v>8.84</v>
      </c>
      <c r="F31" s="39"/>
      <c r="G31" s="39" t="s">
        <v>191</v>
      </c>
      <c r="H31" s="39">
        <f>'fin overz 31 dec 2016'!F18</f>
        <v>3</v>
      </c>
      <c r="I31" s="215">
        <f>-'fin overz 31 dec 2016'!I18</f>
        <v>408.18</v>
      </c>
      <c r="J31" s="215">
        <f>-'[2]begr res  15'!H13</f>
        <v>358.33</v>
      </c>
      <c r="K31" s="267">
        <v>296.99</v>
      </c>
      <c r="L31" s="121"/>
      <c r="M31" s="121"/>
      <c r="N31" s="150"/>
      <c r="O31" s="150"/>
      <c r="P31" s="235"/>
      <c r="Q31" s="235"/>
      <c r="R31" s="401"/>
      <c r="S31" s="235"/>
      <c r="T31" s="235"/>
      <c r="U31" s="150"/>
      <c r="V31" s="150"/>
      <c r="W31" s="150"/>
      <c r="X31" s="150"/>
      <c r="Y31" s="150"/>
    </row>
    <row r="32" spans="1:25" ht="12.75">
      <c r="A32" s="28" t="str">
        <f>'project 2016'!C85</f>
        <v>Subsidie Pr.Bernh.Cult.Fonds</v>
      </c>
      <c r="B32" s="150">
        <v>6</v>
      </c>
      <c r="C32" s="214">
        <f>'fin overz 31 dec 2016'!J21</f>
        <v>1250</v>
      </c>
      <c r="D32" s="24"/>
      <c r="E32" s="24"/>
      <c r="F32" s="39"/>
      <c r="G32" s="39" t="s">
        <v>211</v>
      </c>
      <c r="H32" s="39">
        <f>'fin overz 31 dec 2016'!F19</f>
        <v>4</v>
      </c>
      <c r="I32" s="215">
        <f>-'project 2016'!F66</f>
        <v>127.50000000000003</v>
      </c>
      <c r="J32" s="215">
        <f>-'[2]begr res  15'!H14</f>
        <v>102</v>
      </c>
      <c r="K32" s="267">
        <v>136.15</v>
      </c>
      <c r="L32" s="253"/>
      <c r="M32" s="252"/>
      <c r="N32" s="150"/>
      <c r="O32" s="150"/>
      <c r="P32" s="235"/>
      <c r="Q32" s="235"/>
      <c r="R32" s="401"/>
      <c r="S32" s="235"/>
      <c r="T32" s="235"/>
      <c r="U32" s="150"/>
      <c r="V32" s="150"/>
      <c r="W32" s="150"/>
      <c r="X32" s="150"/>
      <c r="Y32" s="150"/>
    </row>
    <row r="33" spans="1:25" ht="12.75">
      <c r="A33" s="213" t="s">
        <v>207</v>
      </c>
      <c r="B33" s="150">
        <v>7</v>
      </c>
      <c r="C33" s="214">
        <f>'fin overz 31 dec 2016'!J22</f>
        <v>20395</v>
      </c>
      <c r="D33" s="24"/>
      <c r="E33" s="24"/>
      <c r="F33" s="39"/>
      <c r="G33" s="39" t="str">
        <f>'project 2016'!C89</f>
        <v>Creamore</v>
      </c>
      <c r="H33" s="224">
        <f>'fin overz 31 dec 2016'!F21</f>
        <v>6</v>
      </c>
      <c r="I33" s="215">
        <f>-'project 2016'!F89</f>
        <v>216.59</v>
      </c>
      <c r="J33" s="215">
        <f>-'[2]begr res  15'!H16</f>
        <v>387.2</v>
      </c>
      <c r="K33" s="267">
        <v>3035.07</v>
      </c>
      <c r="L33" s="253"/>
      <c r="M33" s="252"/>
      <c r="N33" s="150"/>
      <c r="O33" s="150"/>
      <c r="P33" s="235"/>
      <c r="Q33" s="252"/>
      <c r="R33" s="402"/>
      <c r="S33" s="235"/>
      <c r="T33" s="235"/>
      <c r="U33" s="150"/>
      <c r="V33" s="150"/>
      <c r="W33" s="150"/>
      <c r="X33" s="150"/>
      <c r="Y33" s="150"/>
    </row>
    <row r="34" spans="1:25" ht="12.75">
      <c r="A34" s="389" t="str">
        <f>'project 2016'!C129</f>
        <v>Donatie St. De Ronde Venen</v>
      </c>
      <c r="B34" s="220">
        <v>8</v>
      </c>
      <c r="C34" s="214">
        <f>'fin overz 31 dec 2016'!J23</f>
        <v>1500</v>
      </c>
      <c r="D34" s="24"/>
      <c r="E34" s="24">
        <v>1000</v>
      </c>
      <c r="F34" s="39"/>
      <c r="G34" s="39" t="s">
        <v>83</v>
      </c>
      <c r="H34" s="150">
        <v>7</v>
      </c>
      <c r="I34" s="214">
        <f>-'project 2016'!F119</f>
        <v>17241.690000000002</v>
      </c>
      <c r="J34" s="24"/>
      <c r="K34" s="58"/>
      <c r="L34" s="253"/>
      <c r="M34" s="252"/>
      <c r="N34" s="150"/>
      <c r="O34" s="150"/>
      <c r="P34" s="235"/>
      <c r="Q34" s="235"/>
      <c r="R34" s="401"/>
      <c r="S34" s="235"/>
      <c r="T34" s="235"/>
      <c r="U34" s="150"/>
      <c r="V34" s="150"/>
      <c r="W34" s="150"/>
      <c r="X34" s="150"/>
      <c r="Y34" s="150"/>
    </row>
    <row r="35" spans="1:25" ht="12.75">
      <c r="A35" s="389" t="str">
        <f>'project 2016'!C139</f>
        <v>Donatie Oranje Fonds</v>
      </c>
      <c r="B35" s="220">
        <v>9</v>
      </c>
      <c r="C35" s="214">
        <f>'fin overz 31 dec 2016'!J24</f>
        <v>200</v>
      </c>
      <c r="D35" s="24"/>
      <c r="E35" s="24"/>
      <c r="F35" s="331"/>
      <c r="G35" s="322" t="str">
        <f>'project 2016'!C132</f>
        <v>stimuler.bijdr NME ODRU</v>
      </c>
      <c r="H35" s="220">
        <v>8</v>
      </c>
      <c r="I35" s="214">
        <f>-'project 2016'!F132</f>
        <v>1500</v>
      </c>
      <c r="J35" s="24"/>
      <c r="K35" s="58"/>
      <c r="L35" s="253"/>
      <c r="M35" s="252"/>
      <c r="N35" s="150"/>
      <c r="O35" s="150"/>
      <c r="P35" s="235"/>
      <c r="Q35" s="235"/>
      <c r="R35" s="401"/>
      <c r="S35" s="235"/>
      <c r="T35" s="235"/>
      <c r="U35" s="150"/>
      <c r="V35" s="150"/>
      <c r="W35" s="150"/>
      <c r="X35" s="150"/>
      <c r="Y35" s="150"/>
    </row>
    <row r="36" spans="1:25" ht="12.75">
      <c r="A36" s="389" t="str">
        <f>'project 2016'!C147</f>
        <v>Donatie Rotary Vinkenveen</v>
      </c>
      <c r="B36" s="220">
        <v>10</v>
      </c>
      <c r="C36" s="214">
        <f>'fin overz 31 dec 2016'!J25</f>
        <v>300</v>
      </c>
      <c r="D36" s="215"/>
      <c r="E36" s="215"/>
      <c r="F36" s="331"/>
      <c r="G36" s="322" t="str">
        <f>'project 2016'!C140</f>
        <v>Div kosten/ decl Overgaag</v>
      </c>
      <c r="H36" s="220">
        <v>9</v>
      </c>
      <c r="I36" s="215">
        <f>-'project 2016'!F140</f>
        <v>151.34</v>
      </c>
      <c r="J36" s="24"/>
      <c r="K36" s="58"/>
      <c r="L36" s="253"/>
      <c r="M36" s="252"/>
      <c r="N36" s="150"/>
      <c r="O36" s="150"/>
      <c r="P36" s="235"/>
      <c r="Q36" s="235"/>
      <c r="R36" s="401"/>
      <c r="S36" s="235"/>
      <c r="T36" s="235"/>
      <c r="U36" s="150"/>
      <c r="V36" s="150"/>
      <c r="W36" s="150"/>
      <c r="X36" s="150"/>
      <c r="Y36" s="150"/>
    </row>
    <row r="37" spans="1:25" ht="12.75">
      <c r="A37" s="389" t="str">
        <f>'project 2016'!C159</f>
        <v>Donatie Johnson 10 jarig bestaan</v>
      </c>
      <c r="B37" s="220">
        <v>11</v>
      </c>
      <c r="C37" s="214">
        <f>'fin overz 31 dec 2016'!J26</f>
        <v>10000</v>
      </c>
      <c r="D37" s="24"/>
      <c r="E37" s="215"/>
      <c r="F37" s="24"/>
      <c r="G37" s="322" t="str">
        <f>'project 2016'!C150</f>
        <v>bijdrage leskist water,etc, ODRU</v>
      </c>
      <c r="H37" s="220">
        <v>10</v>
      </c>
      <c r="I37" s="214">
        <f>-'project 2016'!F150</f>
        <v>300.01</v>
      </c>
      <c r="J37" s="24"/>
      <c r="K37" s="267"/>
      <c r="L37" s="121"/>
      <c r="M37" s="121"/>
      <c r="N37" s="224"/>
      <c r="O37" s="220"/>
      <c r="P37" s="235"/>
      <c r="Q37" s="235"/>
      <c r="R37" s="401"/>
      <c r="S37" s="235"/>
      <c r="T37" s="235"/>
      <c r="U37" s="150"/>
      <c r="V37" s="150"/>
      <c r="W37" s="150"/>
      <c r="X37" s="150"/>
      <c r="Y37" s="150"/>
    </row>
    <row r="38" spans="1:25" ht="12.75">
      <c r="A38" s="213" t="s">
        <v>196</v>
      </c>
      <c r="B38" s="39"/>
      <c r="C38" s="39"/>
      <c r="D38" s="215">
        <v>5000</v>
      </c>
      <c r="E38" s="24"/>
      <c r="F38" s="331"/>
      <c r="G38" s="39" t="s">
        <v>190</v>
      </c>
      <c r="H38" s="39"/>
      <c r="I38" s="39"/>
      <c r="J38" s="215"/>
      <c r="K38" s="267">
        <v>548.76</v>
      </c>
      <c r="N38" s="224"/>
      <c r="O38" s="220"/>
      <c r="P38" s="235"/>
      <c r="Q38" s="224"/>
      <c r="R38" s="402"/>
      <c r="S38" s="235"/>
      <c r="T38" s="235"/>
      <c r="U38" s="150"/>
      <c r="V38" s="150"/>
      <c r="W38" s="150"/>
      <c r="X38" s="150"/>
      <c r="Y38" s="150"/>
    </row>
    <row r="39" spans="1:25" ht="12.75">
      <c r="A39" s="213" t="s">
        <v>189</v>
      </c>
      <c r="B39" s="39"/>
      <c r="C39" s="39"/>
      <c r="D39" s="215"/>
      <c r="E39" s="215">
        <v>145</v>
      </c>
      <c r="F39" s="331"/>
      <c r="G39" s="39" t="s">
        <v>195</v>
      </c>
      <c r="H39" s="39"/>
      <c r="I39" s="39"/>
      <c r="J39" s="215"/>
      <c r="K39" s="267">
        <v>42.9</v>
      </c>
      <c r="N39" s="224"/>
      <c r="O39" s="220"/>
      <c r="P39" s="235"/>
      <c r="Q39" s="235"/>
      <c r="R39" s="401"/>
      <c r="S39" s="235"/>
      <c r="T39" s="235"/>
      <c r="U39" s="150"/>
      <c r="V39" s="150"/>
      <c r="W39" s="150"/>
      <c r="X39" s="150"/>
      <c r="Y39" s="150"/>
    </row>
    <row r="40" spans="1:25" ht="12.75">
      <c r="A40" s="213" t="s">
        <v>192</v>
      </c>
      <c r="B40" s="39"/>
      <c r="C40" s="39"/>
      <c r="D40" s="215"/>
      <c r="E40" s="215">
        <v>1084</v>
      </c>
      <c r="F40" s="331"/>
      <c r="G40" s="220"/>
      <c r="H40" s="24"/>
      <c r="I40" s="24"/>
      <c r="J40" s="24"/>
      <c r="K40" s="58"/>
      <c r="N40" s="224"/>
      <c r="O40" s="220"/>
      <c r="P40" s="235"/>
      <c r="Q40" s="235"/>
      <c r="R40" s="401"/>
      <c r="S40" s="252"/>
      <c r="T40" s="252"/>
      <c r="U40" s="150"/>
      <c r="V40" s="150"/>
      <c r="W40" s="150"/>
      <c r="X40" s="150"/>
      <c r="Y40" s="150"/>
    </row>
    <row r="41" spans="1:25" ht="12.75">
      <c r="A41" s="213" t="s">
        <v>193</v>
      </c>
      <c r="B41" s="39"/>
      <c r="C41" s="39"/>
      <c r="D41" s="215"/>
      <c r="E41" s="215">
        <v>2490</v>
      </c>
      <c r="F41" s="331"/>
      <c r="G41" s="220"/>
      <c r="H41" s="220"/>
      <c r="I41" s="220"/>
      <c r="J41" s="215"/>
      <c r="K41" s="267"/>
      <c r="N41" s="150"/>
      <c r="O41" s="150"/>
      <c r="P41" s="150"/>
      <c r="Q41" s="235"/>
      <c r="R41" s="401"/>
      <c r="S41" s="252"/>
      <c r="T41" s="150"/>
      <c r="U41" s="150"/>
      <c r="V41" s="150"/>
      <c r="W41" s="150"/>
      <c r="X41" s="150"/>
      <c r="Y41" s="150"/>
    </row>
    <row r="42" spans="1:25" ht="12.75">
      <c r="A42" s="26"/>
      <c r="B42" s="24"/>
      <c r="C42" s="24"/>
      <c r="D42" s="24"/>
      <c r="E42" s="24"/>
      <c r="F42" s="331"/>
      <c r="G42" s="24"/>
      <c r="H42" s="24"/>
      <c r="I42" s="24"/>
      <c r="J42" s="24"/>
      <c r="K42" s="58"/>
      <c r="N42" s="150"/>
      <c r="O42" s="150"/>
      <c r="P42" s="150"/>
      <c r="Q42" s="235"/>
      <c r="R42" s="401"/>
      <c r="S42" s="252"/>
      <c r="T42" s="150"/>
      <c r="U42" s="150"/>
      <c r="V42" s="150"/>
      <c r="W42" s="150"/>
      <c r="X42" s="150"/>
      <c r="Y42" s="150"/>
    </row>
    <row r="43" spans="1:25" ht="12.75">
      <c r="A43" s="407" t="s">
        <v>219</v>
      </c>
      <c r="B43" s="408"/>
      <c r="C43" s="409">
        <f>SUM(C31:C42)</f>
        <v>33654.95</v>
      </c>
      <c r="D43" s="410">
        <f>SUM(D31:D42)</f>
        <v>5003.79</v>
      </c>
      <c r="E43" s="410">
        <f>SUM(E31:E42)</f>
        <v>4727.84</v>
      </c>
      <c r="F43" s="372"/>
      <c r="G43" s="408" t="s">
        <v>218</v>
      </c>
      <c r="H43" s="408"/>
      <c r="I43" s="409">
        <f>SUM(I30:I41)</f>
        <v>20253.96</v>
      </c>
      <c r="J43" s="410">
        <f>SUM(J30:J41)</f>
        <v>1030.14</v>
      </c>
      <c r="K43" s="411">
        <f>SUM(K30:K41)</f>
        <v>4059.8700000000003</v>
      </c>
      <c r="N43" s="150"/>
      <c r="O43" s="150"/>
      <c r="P43" s="150"/>
      <c r="Q43" s="235"/>
      <c r="R43" s="401"/>
      <c r="S43" s="235"/>
      <c r="T43" s="150"/>
      <c r="U43" s="150"/>
      <c r="V43" s="150"/>
      <c r="W43" s="150"/>
      <c r="X43" s="150"/>
      <c r="Y43" s="150"/>
    </row>
    <row r="44" spans="1:25" ht="15">
      <c r="A44" s="26"/>
      <c r="B44" s="24"/>
      <c r="C44" s="24"/>
      <c r="D44" s="24"/>
      <c r="E44" s="24"/>
      <c r="F44" s="331"/>
      <c r="G44" s="24"/>
      <c r="H44" s="24"/>
      <c r="I44" s="24"/>
      <c r="J44" s="24"/>
      <c r="K44" s="58"/>
      <c r="N44" s="150"/>
      <c r="O44" s="150"/>
      <c r="P44" s="150"/>
      <c r="Q44" s="227"/>
      <c r="R44" s="403"/>
      <c r="S44" s="227"/>
      <c r="T44" s="150"/>
      <c r="U44" s="150"/>
      <c r="V44" s="150"/>
      <c r="W44" s="150"/>
      <c r="X44" s="150"/>
      <c r="Y44" s="150"/>
    </row>
    <row r="45" spans="1:25" ht="15">
      <c r="A45" s="213" t="s">
        <v>208</v>
      </c>
      <c r="B45" s="24"/>
      <c r="C45" s="24"/>
      <c r="D45" s="24"/>
      <c r="E45" s="24"/>
      <c r="F45" s="331"/>
      <c r="G45" s="391" t="s">
        <v>197</v>
      </c>
      <c r="H45" s="391"/>
      <c r="I45" s="392">
        <f>C43-I43</f>
        <v>13400.989999999998</v>
      </c>
      <c r="J45" s="24"/>
      <c r="K45" s="58"/>
      <c r="N45" s="150"/>
      <c r="O45" s="150"/>
      <c r="P45" s="150"/>
      <c r="Q45" s="150"/>
      <c r="R45" s="401"/>
      <c r="S45" s="150"/>
      <c r="T45" s="150"/>
      <c r="U45" s="150"/>
      <c r="V45" s="150"/>
      <c r="W45" s="150"/>
      <c r="X45" s="150"/>
      <c r="Y45" s="150"/>
    </row>
    <row r="46" spans="1:25" ht="12.75">
      <c r="A46" s="213"/>
      <c r="B46" s="39"/>
      <c r="C46" s="39"/>
      <c r="D46" s="215"/>
      <c r="E46" s="215"/>
      <c r="F46" s="331"/>
      <c r="G46" s="39" t="s">
        <v>198</v>
      </c>
      <c r="H46" s="371"/>
      <c r="I46" s="371"/>
      <c r="J46" s="215">
        <f>D43-J43</f>
        <v>3973.6499999999996</v>
      </c>
      <c r="K46" s="267"/>
      <c r="L46" s="370"/>
      <c r="N46" s="150"/>
      <c r="O46" s="150"/>
      <c r="P46" s="150"/>
      <c r="Q46" s="150"/>
      <c r="R46" s="401"/>
      <c r="S46" s="150"/>
      <c r="T46" s="150"/>
      <c r="U46" s="150"/>
      <c r="V46" s="150"/>
      <c r="W46" s="150"/>
      <c r="X46" s="150"/>
      <c r="Y46" s="150"/>
    </row>
    <row r="47" spans="1:25" ht="12.75">
      <c r="A47" s="26"/>
      <c r="B47" s="39"/>
      <c r="C47" s="39"/>
      <c r="D47" s="24"/>
      <c r="E47" s="24"/>
      <c r="F47" s="331"/>
      <c r="G47" s="220" t="s">
        <v>199</v>
      </c>
      <c r="H47" s="220"/>
      <c r="I47" s="220"/>
      <c r="J47" s="215"/>
      <c r="K47" s="267">
        <f>E43-K43</f>
        <v>667.9699999999998</v>
      </c>
      <c r="L47" s="132"/>
      <c r="N47" s="150"/>
      <c r="O47" s="150"/>
      <c r="P47" s="150"/>
      <c r="Q47" s="150"/>
      <c r="R47" s="401"/>
      <c r="S47" s="150"/>
      <c r="T47" s="150"/>
      <c r="U47" s="150"/>
      <c r="V47" s="150"/>
      <c r="W47" s="150"/>
      <c r="X47" s="150"/>
      <c r="Y47" s="150"/>
    </row>
    <row r="48" spans="1:11" ht="13.5" thickBot="1">
      <c r="A48" s="373"/>
      <c r="B48" s="374"/>
      <c r="C48" s="374"/>
      <c r="D48" s="375"/>
      <c r="E48" s="376"/>
      <c r="F48" s="377"/>
      <c r="G48" s="374"/>
      <c r="H48" s="374"/>
      <c r="I48" s="374"/>
      <c r="J48" s="375"/>
      <c r="K48" s="378"/>
    </row>
    <row r="49" spans="1:11" ht="14.25" thickTop="1">
      <c r="A49" s="49"/>
      <c r="B49" s="20"/>
      <c r="C49" s="20"/>
      <c r="D49" s="20"/>
      <c r="E49" s="24"/>
      <c r="F49" s="365"/>
      <c r="G49" s="24"/>
      <c r="H49" s="24"/>
      <c r="I49" s="24"/>
      <c r="J49" s="24"/>
      <c r="K49" s="379"/>
    </row>
    <row r="50" spans="1:11" ht="15">
      <c r="A50" s="906" t="s">
        <v>200</v>
      </c>
      <c r="B50" s="907"/>
      <c r="C50" s="907"/>
      <c r="D50" s="907"/>
      <c r="E50" s="907"/>
      <c r="F50" s="907"/>
      <c r="G50" s="907"/>
      <c r="H50" s="907"/>
      <c r="I50" s="907"/>
      <c r="J50" s="907"/>
      <c r="K50" s="908"/>
    </row>
    <row r="51" spans="1:11" ht="13.5">
      <c r="A51" s="380"/>
      <c r="B51" s="381"/>
      <c r="C51" s="381"/>
      <c r="D51" s="381"/>
      <c r="E51" s="20"/>
      <c r="F51" s="365"/>
      <c r="G51" s="24"/>
      <c r="H51" s="24"/>
      <c r="I51" s="24"/>
      <c r="J51" s="24"/>
      <c r="K51" s="379"/>
    </row>
    <row r="52" spans="1:11" ht="12.75">
      <c r="A52" s="909" t="s">
        <v>201</v>
      </c>
      <c r="B52" s="910"/>
      <c r="C52" s="910"/>
      <c r="D52" s="910"/>
      <c r="E52" s="910"/>
      <c r="F52" s="910"/>
      <c r="G52" s="910"/>
      <c r="H52" s="910"/>
      <c r="I52" s="910"/>
      <c r="J52" s="910"/>
      <c r="K52" s="911"/>
    </row>
    <row r="53" spans="1:11" ht="14.25" thickBot="1">
      <c r="A53" s="382"/>
      <c r="B53" s="383"/>
      <c r="C53" s="383"/>
      <c r="D53" s="383"/>
      <c r="E53" s="384"/>
      <c r="F53" s="385"/>
      <c r="G53" s="351"/>
      <c r="H53" s="351"/>
      <c r="I53" s="351"/>
      <c r="J53" s="351"/>
      <c r="K53" s="386"/>
    </row>
    <row r="54" ht="13.5">
      <c r="F54" s="387"/>
    </row>
    <row r="55" spans="1:20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404"/>
      <c r="S55" s="24"/>
      <c r="T55" s="24"/>
    </row>
    <row r="56" spans="1:20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404"/>
      <c r="S56" s="24"/>
      <c r="T56" s="24"/>
    </row>
  </sheetData>
  <sheetProtection/>
  <mergeCells count="4">
    <mergeCell ref="A4:K4"/>
    <mergeCell ref="A27:K27"/>
    <mergeCell ref="A50:K50"/>
    <mergeCell ref="A52:K52"/>
  </mergeCells>
  <printOptions/>
  <pageMargins left="0.7" right="0.7" top="0.75" bottom="0.75" header="0.3" footer="0.3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9">
      <selection activeCell="A33" sqref="A1:K33"/>
    </sheetView>
  </sheetViews>
  <sheetFormatPr defaultColWidth="9.140625" defaultRowHeight="12.75"/>
  <cols>
    <col min="1" max="1" width="13.7109375" style="0" customWidth="1"/>
    <col min="2" max="2" width="43.421875" style="0" customWidth="1"/>
    <col min="3" max="3" width="14.7109375" style="0" customWidth="1"/>
    <col min="4" max="4" width="1.7109375" style="0" customWidth="1"/>
    <col min="5" max="5" width="35.00390625" style="0" customWidth="1"/>
    <col min="6" max="6" width="4.140625" style="0" customWidth="1"/>
    <col min="7" max="7" width="14.7109375" style="0" customWidth="1"/>
    <col min="8" max="8" width="15.421875" style="0" customWidth="1"/>
    <col min="9" max="9" width="16.7109375" style="0" customWidth="1"/>
    <col min="10" max="10" width="14.57421875" style="0" customWidth="1"/>
    <col min="11" max="11" width="18.28125" style="0" customWidth="1"/>
    <col min="12" max="12" width="26.8515625" style="0" customWidth="1"/>
  </cols>
  <sheetData>
    <row r="1" ht="30">
      <c r="B1" s="254" t="s">
        <v>142</v>
      </c>
    </row>
    <row r="2" ht="12.75">
      <c r="B2" t="s">
        <v>666</v>
      </c>
    </row>
    <row r="4" spans="2:3" ht="21">
      <c r="B4" s="171" t="s">
        <v>158</v>
      </c>
      <c r="C4" s="287">
        <v>44926</v>
      </c>
    </row>
    <row r="5" ht="12.75">
      <c r="E5" s="132"/>
    </row>
    <row r="6" spans="2:3" ht="13.5" thickBot="1">
      <c r="B6" s="414"/>
      <c r="C6" s="415"/>
    </row>
    <row r="7" spans="1:12" ht="12.75">
      <c r="A7" s="132"/>
      <c r="B7" s="210"/>
      <c r="C7" s="211"/>
      <c r="D7" s="37"/>
      <c r="E7" s="210"/>
      <c r="F7" s="37"/>
      <c r="G7" s="37" t="s">
        <v>159</v>
      </c>
      <c r="H7" s="211" t="s">
        <v>159</v>
      </c>
      <c r="I7" s="269" t="s">
        <v>161</v>
      </c>
      <c r="J7" s="210" t="s">
        <v>161</v>
      </c>
      <c r="K7" s="877">
        <v>-5175.31</v>
      </c>
      <c r="L7" s="24"/>
    </row>
    <row r="8" spans="1:12" ht="12.75">
      <c r="A8" s="132"/>
      <c r="B8" s="412"/>
      <c r="C8" s="58"/>
      <c r="D8" s="24"/>
      <c r="E8" s="26"/>
      <c r="F8" s="24"/>
      <c r="G8" s="460">
        <f>C4</f>
        <v>44926</v>
      </c>
      <c r="H8" s="461">
        <f>C4</f>
        <v>44926</v>
      </c>
      <c r="I8" s="777">
        <f>C4</f>
        <v>44926</v>
      </c>
      <c r="J8" s="283">
        <f>C4</f>
        <v>44926</v>
      </c>
      <c r="K8" s="878">
        <v>44561</v>
      </c>
      <c r="L8" s="24"/>
    </row>
    <row r="9" spans="1:12" ht="13.5" thickBot="1">
      <c r="A9" s="133"/>
      <c r="B9" s="219" t="s">
        <v>162</v>
      </c>
      <c r="C9" s="58"/>
      <c r="D9" s="24"/>
      <c r="E9" s="219" t="s">
        <v>99</v>
      </c>
      <c r="F9" s="39"/>
      <c r="G9" s="224" t="s">
        <v>102</v>
      </c>
      <c r="H9" s="771" t="s">
        <v>160</v>
      </c>
      <c r="I9" s="778" t="s">
        <v>101</v>
      </c>
      <c r="J9" s="870" t="s">
        <v>100</v>
      </c>
      <c r="K9" s="879" t="s">
        <v>84</v>
      </c>
      <c r="L9" s="224"/>
    </row>
    <row r="10" spans="1:12" ht="12.75">
      <c r="A10" s="595" t="s">
        <v>383</v>
      </c>
      <c r="B10" s="286">
        <v>44926</v>
      </c>
      <c r="C10" s="58"/>
      <c r="D10" s="24"/>
      <c r="E10" s="682">
        <f>C4</f>
        <v>44926</v>
      </c>
      <c r="F10" s="150"/>
      <c r="G10" s="150"/>
      <c r="H10" s="463"/>
      <c r="I10" s="651"/>
      <c r="J10" s="237"/>
      <c r="K10" s="880"/>
      <c r="L10" s="224"/>
    </row>
    <row r="11" spans="1:12" ht="12.75">
      <c r="A11" s="592">
        <f>'project 2020'!F11</f>
        <v>0</v>
      </c>
      <c r="B11" s="26" t="s">
        <v>264</v>
      </c>
      <c r="C11" s="704">
        <v>0</v>
      </c>
      <c r="D11" s="24"/>
      <c r="E11" s="683"/>
      <c r="F11" s="401"/>
      <c r="G11" s="235"/>
      <c r="H11" s="265"/>
      <c r="I11" s="459"/>
      <c r="J11" s="711"/>
      <c r="K11" s="881"/>
      <c r="L11" s="252"/>
    </row>
    <row r="12" spans="1:12" ht="12.75">
      <c r="A12" s="593">
        <f>'proj 2022'!F43+'proj 2022'!F99+'proj 2022'!F123+'proj 2022'!F167+'proj 2022'!F184</f>
        <v>6814.780000000009</v>
      </c>
      <c r="B12" s="26" t="s">
        <v>266</v>
      </c>
      <c r="C12" s="704">
        <v>6814.78</v>
      </c>
      <c r="D12" s="24"/>
      <c r="E12" s="802" t="str">
        <f>'proj 2021'!B10</f>
        <v>Reservering diversen bankkosten</v>
      </c>
      <c r="F12" s="803" t="str">
        <f>'proj 2021'!E10</f>
        <v>nr.4</v>
      </c>
      <c r="G12" s="627"/>
      <c r="H12" s="774">
        <f aca="true" t="shared" si="0" ref="H12:H20">J12+K12+I12</f>
        <v>-38.710000000000036</v>
      </c>
      <c r="I12" s="780">
        <f>'proj 2022'!F39</f>
        <v>-119.41000000000001</v>
      </c>
      <c r="J12" s="872">
        <f>'proj 2022'!F42</f>
        <v>0</v>
      </c>
      <c r="K12" s="883">
        <f>'proj 2022'!F24</f>
        <v>80.69999999999997</v>
      </c>
      <c r="L12" s="252"/>
    </row>
    <row r="13" spans="1:12" ht="15">
      <c r="A13" s="593"/>
      <c r="B13" s="697"/>
      <c r="C13" s="58"/>
      <c r="D13" s="24"/>
      <c r="E13" s="588"/>
      <c r="F13" s="401"/>
      <c r="G13" s="214"/>
      <c r="H13" s="774">
        <f t="shared" si="0"/>
        <v>0</v>
      </c>
      <c r="I13" s="780"/>
      <c r="J13" s="872"/>
      <c r="K13" s="883"/>
      <c r="L13" s="252"/>
    </row>
    <row r="14" spans="1:12" ht="15">
      <c r="A14" s="592"/>
      <c r="B14" s="697"/>
      <c r="C14" s="216"/>
      <c r="D14" s="24"/>
      <c r="E14" s="799" t="str">
        <f>'proj 2021'!B53</f>
        <v>50 dingen boekje</v>
      </c>
      <c r="F14" s="808" t="str">
        <f>'proj 2021'!E53</f>
        <v>nr.7</v>
      </c>
      <c r="G14" s="587"/>
      <c r="H14" s="774">
        <f t="shared" si="0"/>
        <v>10864.530000000002</v>
      </c>
      <c r="I14" s="800">
        <f>'proj 2022'!F68</f>
        <v>-1258.3999999999999</v>
      </c>
      <c r="J14" s="873">
        <f>'proj 2022'!F71</f>
        <v>1.28</v>
      </c>
      <c r="K14" s="884">
        <f>'proj 2022'!F59</f>
        <v>12121.650000000001</v>
      </c>
      <c r="L14" s="252"/>
    </row>
    <row r="15" spans="1:12" ht="12.75">
      <c r="A15" s="592"/>
      <c r="B15" s="412"/>
      <c r="C15" s="58"/>
      <c r="D15" s="24"/>
      <c r="E15" s="588"/>
      <c r="F15" s="401"/>
      <c r="G15" s="214"/>
      <c r="H15" s="798"/>
      <c r="I15" s="780"/>
      <c r="J15" s="874"/>
      <c r="K15" s="885"/>
      <c r="L15" s="252"/>
    </row>
    <row r="16" spans="1:12" ht="12.75">
      <c r="A16" s="592"/>
      <c r="B16" s="456"/>
      <c r="C16" s="265"/>
      <c r="D16" s="24"/>
      <c r="E16" s="588" t="str">
        <f>'proj 2021'!B87</f>
        <v>Basis onderwijs</v>
      </c>
      <c r="F16" s="401" t="str">
        <f>'proj 2021'!E87</f>
        <v>nr.8</v>
      </c>
      <c r="G16" s="214"/>
      <c r="H16" s="798">
        <f t="shared" si="0"/>
        <v>3183.1499999999996</v>
      </c>
      <c r="I16" s="780">
        <f>'proj 2022'!F94</f>
        <v>-5507.76</v>
      </c>
      <c r="J16" s="872">
        <f>'proj 2022'!F98</f>
        <v>187.07</v>
      </c>
      <c r="K16" s="885">
        <f>'proj 2022'!F87</f>
        <v>8503.84</v>
      </c>
      <c r="L16" s="252"/>
    </row>
    <row r="17" spans="1:12" ht="13.5" thickBot="1">
      <c r="A17" s="594">
        <f>'proj 2022'!F72</f>
        <v>10864.530000000002</v>
      </c>
      <c r="B17" s="688" t="s">
        <v>265</v>
      </c>
      <c r="C17" s="704">
        <v>10864.53</v>
      </c>
      <c r="D17" s="24"/>
      <c r="E17" s="588"/>
      <c r="F17" s="401"/>
      <c r="G17" s="214"/>
      <c r="H17" s="798"/>
      <c r="I17" s="780"/>
      <c r="J17" s="874"/>
      <c r="K17" s="885"/>
      <c r="L17" s="252"/>
    </row>
    <row r="18" spans="1:12" ht="15.75" thickBot="1">
      <c r="A18" s="594">
        <f>SUM(A11:A17)</f>
        <v>17679.310000000012</v>
      </c>
      <c r="B18" s="697"/>
      <c r="C18" s="265"/>
      <c r="D18" s="24"/>
      <c r="E18" s="588" t="str">
        <f>'proj 2021'!B110</f>
        <v>Stimulering NME</v>
      </c>
      <c r="F18" s="220" t="str">
        <f>'proj 2021'!E110</f>
        <v>nr 12</v>
      </c>
      <c r="G18" s="214"/>
      <c r="H18" s="798">
        <f t="shared" si="0"/>
        <v>2849.88</v>
      </c>
      <c r="I18" s="780">
        <f>'proj 2022'!F117</f>
        <v>0</v>
      </c>
      <c r="J18" s="874">
        <f>'proj 2022'!F122</f>
        <v>2474</v>
      </c>
      <c r="K18" s="885">
        <f>'proj 2022'!F112</f>
        <v>375.8799999999999</v>
      </c>
      <c r="L18" s="252"/>
    </row>
    <row r="19" spans="1:12" ht="15">
      <c r="A19" s="587"/>
      <c r="B19" s="697">
        <f>A17-C17</f>
        <v>0</v>
      </c>
      <c r="C19" s="216"/>
      <c r="D19" s="24"/>
      <c r="E19" s="588"/>
      <c r="F19" s="401"/>
      <c r="G19" s="214"/>
      <c r="H19" s="798"/>
      <c r="I19" s="781"/>
      <c r="J19" s="872"/>
      <c r="K19" s="883"/>
      <c r="L19" s="252"/>
    </row>
    <row r="20" spans="1:12" ht="12.75">
      <c r="A20" s="586"/>
      <c r="B20" s="412"/>
      <c r="C20" s="216"/>
      <c r="D20" s="24"/>
      <c r="E20" s="26" t="str">
        <f>'proj 2021'!B123</f>
        <v>IZETTLE (kas Conny)</v>
      </c>
      <c r="F20" s="24" t="str">
        <f>'proj 2021'!E123</f>
        <v>nr 13</v>
      </c>
      <c r="G20" s="24"/>
      <c r="H20" s="798">
        <f t="shared" si="0"/>
        <v>0</v>
      </c>
      <c r="I20" s="779">
        <f>'proj 2022'!F162</f>
        <v>-43.93</v>
      </c>
      <c r="J20" s="875">
        <f>'proj 2022'!F166</f>
        <v>19.45</v>
      </c>
      <c r="K20" s="883">
        <f>'proj 2022'!F157</f>
        <v>24.480000000000018</v>
      </c>
      <c r="L20" s="252"/>
    </row>
    <row r="21" spans="1:12" ht="12.75">
      <c r="A21" s="587"/>
      <c r="B21" s="412"/>
      <c r="C21" s="216"/>
      <c r="D21" s="24"/>
      <c r="E21" s="26"/>
      <c r="F21" s="24"/>
      <c r="G21" s="24"/>
      <c r="H21" s="772"/>
      <c r="I21" s="779"/>
      <c r="J21" s="875"/>
      <c r="K21" s="886"/>
      <c r="L21" s="252"/>
    </row>
    <row r="22" spans="1:12" ht="12.75">
      <c r="A22" s="586"/>
      <c r="B22" s="412"/>
      <c r="C22" s="216"/>
      <c r="D22" s="24"/>
      <c r="E22" s="26"/>
      <c r="F22" s="24"/>
      <c r="G22" s="24"/>
      <c r="H22" s="772"/>
      <c r="I22" s="779"/>
      <c r="J22" s="875"/>
      <c r="K22" s="886"/>
      <c r="L22" s="252"/>
    </row>
    <row r="23" spans="1:12" ht="12.75">
      <c r="A23" s="587"/>
      <c r="B23" s="412"/>
      <c r="C23" s="216"/>
      <c r="D23" s="24"/>
      <c r="E23" s="26"/>
      <c r="F23" s="24"/>
      <c r="G23" s="24"/>
      <c r="H23" s="772"/>
      <c r="I23" s="779"/>
      <c r="J23" s="875"/>
      <c r="K23" s="886"/>
      <c r="L23" s="235"/>
    </row>
    <row r="24" spans="1:12" ht="13.5" thickBot="1">
      <c r="A24" s="685"/>
      <c r="B24" s="585"/>
      <c r="C24" s="218"/>
      <c r="D24" s="24"/>
      <c r="E24" s="590" t="s">
        <v>633</v>
      </c>
      <c r="F24" s="99" t="s">
        <v>243</v>
      </c>
      <c r="G24" s="591">
        <f>'proj 2022'!F184</f>
        <v>820.460000000009</v>
      </c>
      <c r="H24" s="775"/>
      <c r="I24" s="780"/>
      <c r="J24" s="872"/>
      <c r="K24" s="887"/>
      <c r="L24" s="215"/>
    </row>
    <row r="25" spans="1:12" ht="15.75" thickBot="1">
      <c r="A25" s="594">
        <f>A18-C25</f>
        <v>0</v>
      </c>
      <c r="B25" s="206" t="s">
        <v>319</v>
      </c>
      <c r="C25" s="458">
        <f>SUM(C10:C24)</f>
        <v>17679.31</v>
      </c>
      <c r="D25" s="208"/>
      <c r="E25" s="206" t="s">
        <v>79</v>
      </c>
      <c r="F25" s="208"/>
      <c r="G25" s="207">
        <f>C25-H25</f>
        <v>820.4599999999991</v>
      </c>
      <c r="H25" s="776">
        <f>SUM(H10:H24)</f>
        <v>16858.850000000002</v>
      </c>
      <c r="I25" s="782">
        <f>SUM(I11:I24)</f>
        <v>-6929.5</v>
      </c>
      <c r="J25" s="876">
        <f>SUM(J11:J24)</f>
        <v>2681.7999999999997</v>
      </c>
      <c r="K25" s="888">
        <f>SUM(K10:K24)</f>
        <v>21106.550000000003</v>
      </c>
      <c r="L25" s="214"/>
    </row>
    <row r="26" spans="1:12" ht="13.5" thickBot="1">
      <c r="A26" s="132"/>
      <c r="B26" s="546"/>
      <c r="C26" s="547"/>
      <c r="E26" s="132"/>
      <c r="G26" s="236"/>
      <c r="H26" s="132"/>
      <c r="I26" s="581"/>
      <c r="J26" s="581"/>
      <c r="K26" s="132"/>
      <c r="L26" s="132"/>
    </row>
    <row r="27" spans="2:12" ht="15">
      <c r="B27" s="482" t="s">
        <v>285</v>
      </c>
      <c r="C27" s="483">
        <f>H25</f>
        <v>16858.850000000002</v>
      </c>
      <c r="D27" s="121"/>
      <c r="E27" s="133"/>
      <c r="F27" s="256"/>
      <c r="G27" s="690"/>
      <c r="H27" s="690"/>
      <c r="I27" s="685"/>
      <c r="J27" s="133"/>
      <c r="K27" s="844"/>
      <c r="L27" s="844"/>
    </row>
    <row r="28" spans="1:12" ht="12.75">
      <c r="A28" s="132"/>
      <c r="B28" s="484"/>
      <c r="C28" s="457"/>
      <c r="D28" s="121"/>
      <c r="E28" s="133"/>
      <c r="F28" s="121"/>
      <c r="G28" s="282"/>
      <c r="H28" s="282"/>
      <c r="I28" s="133"/>
      <c r="J28" s="133"/>
      <c r="K28" s="480"/>
      <c r="L28" s="133"/>
    </row>
    <row r="29" spans="1:12" ht="12.75">
      <c r="A29" s="132"/>
      <c r="B29" s="485" t="s">
        <v>632</v>
      </c>
      <c r="C29" s="457">
        <f>G24</f>
        <v>820.460000000009</v>
      </c>
      <c r="D29" s="121"/>
      <c r="E29" s="133"/>
      <c r="F29" s="121"/>
      <c r="G29" s="133"/>
      <c r="H29" s="282"/>
      <c r="J29" s="133"/>
      <c r="L29" s="133"/>
    </row>
    <row r="30" spans="2:12" ht="13.5" thickBot="1">
      <c r="B30" s="188"/>
      <c r="C30" s="457"/>
      <c r="D30" s="121"/>
      <c r="E30" s="133"/>
      <c r="F30" s="121"/>
      <c r="G30" s="133"/>
      <c r="H30" s="282"/>
      <c r="I30" s="133"/>
      <c r="J30" s="133"/>
      <c r="K30" s="235"/>
      <c r="L30" s="121"/>
    </row>
    <row r="31" spans="1:11" ht="13.5" thickBot="1">
      <c r="A31" s="132"/>
      <c r="B31" s="521" t="s">
        <v>98</v>
      </c>
      <c r="C31" s="522">
        <f>C27+C29</f>
        <v>17679.310000000012</v>
      </c>
      <c r="E31" s="133"/>
      <c r="G31" s="133"/>
      <c r="H31" s="133"/>
      <c r="I31" s="133"/>
      <c r="J31" s="133"/>
      <c r="K31" s="478"/>
    </row>
    <row r="33" ht="12.75">
      <c r="C33" s="132">
        <f>C25-C31</f>
        <v>0</v>
      </c>
    </row>
    <row r="37" ht="12.75">
      <c r="B37" s="7" t="s">
        <v>661</v>
      </c>
    </row>
    <row r="39" spans="1:5" ht="12.75">
      <c r="A39" s="559">
        <v>44879</v>
      </c>
      <c r="B39" s="7" t="s">
        <v>662</v>
      </c>
      <c r="C39">
        <v>200</v>
      </c>
      <c r="E39" s="7" t="s">
        <v>664</v>
      </c>
    </row>
    <row r="40" spans="1:5" ht="12.75">
      <c r="A40" s="559">
        <v>44873</v>
      </c>
      <c r="B40" s="7" t="s">
        <v>663</v>
      </c>
      <c r="C40">
        <v>187.07</v>
      </c>
      <c r="E40" s="7" t="s">
        <v>665</v>
      </c>
    </row>
    <row r="41" spans="1:5" ht="12.75">
      <c r="A41" s="895">
        <v>44872</v>
      </c>
      <c r="B41" s="7" t="s">
        <v>658</v>
      </c>
      <c r="C41">
        <v>2274</v>
      </c>
      <c r="E41" s="7" t="s">
        <v>664</v>
      </c>
    </row>
  </sheetData>
  <sheetProtection/>
  <printOptions/>
  <pageMargins left="0.7" right="0.7" top="0.75" bottom="0.75" header="0.3" footer="0.3"/>
  <pageSetup fitToHeight="1" fitToWidth="1" horizontalDpi="360" verticalDpi="36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9"/>
  <sheetViews>
    <sheetView zoomScalePageLayoutView="0" workbookViewId="0" topLeftCell="C11">
      <selection activeCell="I32" sqref="I32"/>
    </sheetView>
  </sheetViews>
  <sheetFormatPr defaultColWidth="9.140625" defaultRowHeight="12.75"/>
  <cols>
    <col min="1" max="1" width="13.7109375" style="0" customWidth="1"/>
    <col min="2" max="2" width="40.28125" style="0" customWidth="1"/>
    <col min="3" max="3" width="14.7109375" style="0" customWidth="1"/>
    <col min="4" max="4" width="1.7109375" style="0" customWidth="1"/>
    <col min="5" max="5" width="35.00390625" style="0" customWidth="1"/>
    <col min="6" max="6" width="4.140625" style="0" customWidth="1"/>
    <col min="7" max="7" width="14.7109375" style="0" customWidth="1"/>
    <col min="8" max="8" width="15.421875" style="0" customWidth="1"/>
    <col min="9" max="9" width="16.7109375" style="0" customWidth="1"/>
    <col min="10" max="10" width="14.57421875" style="0" bestFit="1" customWidth="1"/>
    <col min="11" max="11" width="13.140625" style="0" bestFit="1" customWidth="1"/>
    <col min="12" max="12" width="26.8515625" style="0" customWidth="1"/>
    <col min="13" max="13" width="28.00390625" style="0" customWidth="1"/>
    <col min="14" max="14" width="13.421875" style="0" customWidth="1"/>
  </cols>
  <sheetData>
    <row r="4" ht="30">
      <c r="B4" s="254" t="s">
        <v>142</v>
      </c>
    </row>
    <row r="7" spans="2:3" ht="21">
      <c r="B7" s="171" t="s">
        <v>158</v>
      </c>
      <c r="C7" s="287">
        <v>42735</v>
      </c>
    </row>
    <row r="8" ht="12.75">
      <c r="E8" s="132">
        <f>SUM(C17:C18)</f>
        <v>14080.15</v>
      </c>
    </row>
    <row r="9" ht="12.75">
      <c r="K9" s="132"/>
    </row>
    <row r="10" spans="9:12" ht="12.75">
      <c r="I10" s="132"/>
      <c r="K10" s="132"/>
      <c r="L10" s="132"/>
    </row>
    <row r="11" spans="2:3" ht="13.5" thickBot="1">
      <c r="B11" s="414"/>
      <c r="C11" s="415"/>
    </row>
    <row r="12" spans="2:15" ht="12.75">
      <c r="B12" s="210"/>
      <c r="C12" s="211"/>
      <c r="D12" s="37"/>
      <c r="E12" s="210"/>
      <c r="F12" s="37"/>
      <c r="G12" s="37" t="s">
        <v>159</v>
      </c>
      <c r="H12" s="211" t="s">
        <v>159</v>
      </c>
      <c r="I12" s="37" t="s">
        <v>161</v>
      </c>
      <c r="J12" s="211" t="s">
        <v>161</v>
      </c>
      <c r="K12" s="269"/>
      <c r="L12" s="37"/>
      <c r="M12" s="211"/>
      <c r="O12" s="7"/>
    </row>
    <row r="13" spans="2:13" ht="12.75">
      <c r="B13" s="26"/>
      <c r="C13" s="58"/>
      <c r="D13" s="24"/>
      <c r="E13" s="26"/>
      <c r="F13" s="24"/>
      <c r="G13" s="284">
        <f>C7</f>
        <v>42735</v>
      </c>
      <c r="H13" s="276">
        <f>C7</f>
        <v>42735</v>
      </c>
      <c r="I13" s="284">
        <f>C7</f>
        <v>42735</v>
      </c>
      <c r="J13" s="285">
        <f>C7</f>
        <v>42735</v>
      </c>
      <c r="K13" s="270">
        <v>42369</v>
      </c>
      <c r="L13" s="24"/>
      <c r="M13" s="212"/>
    </row>
    <row r="14" spans="2:13" ht="12.75">
      <c r="B14" s="219" t="s">
        <v>162</v>
      </c>
      <c r="C14" s="58"/>
      <c r="D14" s="24"/>
      <c r="E14" s="219" t="s">
        <v>99</v>
      </c>
      <c r="F14" s="39"/>
      <c r="G14" s="39" t="s">
        <v>102</v>
      </c>
      <c r="H14" s="277" t="s">
        <v>160</v>
      </c>
      <c r="I14" s="224" t="s">
        <v>101</v>
      </c>
      <c r="J14" s="212" t="s">
        <v>100</v>
      </c>
      <c r="K14" s="271" t="s">
        <v>84</v>
      </c>
      <c r="L14" s="39" t="s">
        <v>105</v>
      </c>
      <c r="M14" s="58"/>
    </row>
    <row r="15" spans="2:13" ht="12.75">
      <c r="B15" s="286">
        <f>C7</f>
        <v>42735</v>
      </c>
      <c r="C15" s="58"/>
      <c r="D15" s="24"/>
      <c r="E15" s="283">
        <f>C7</f>
        <v>42735</v>
      </c>
      <c r="F15" s="24"/>
      <c r="G15" s="24"/>
      <c r="H15" s="58"/>
      <c r="I15" s="24"/>
      <c r="J15" s="58"/>
      <c r="K15" s="272"/>
      <c r="L15" s="39"/>
      <c r="M15" s="58"/>
    </row>
    <row r="16" spans="2:14" ht="12.75">
      <c r="B16" s="26" t="s">
        <v>70</v>
      </c>
      <c r="C16" s="264">
        <v>389.69</v>
      </c>
      <c r="D16" s="24"/>
      <c r="E16" s="26" t="s">
        <v>203</v>
      </c>
      <c r="F16" s="150">
        <v>1</v>
      </c>
      <c r="G16" s="214">
        <v>0</v>
      </c>
      <c r="H16" s="264">
        <f>J16+K16+I16</f>
        <v>389.68999999999994</v>
      </c>
      <c r="I16" s="214">
        <f>'project 2016'!F12</f>
        <v>-308.65</v>
      </c>
      <c r="J16" s="264">
        <f>'project 2016'!F11</f>
        <v>2.17</v>
      </c>
      <c r="K16" s="273">
        <f>'project 2016'!F9</f>
        <v>696.17</v>
      </c>
      <c r="L16" s="215" t="s">
        <v>132</v>
      </c>
      <c r="M16" s="216"/>
      <c r="N16" s="132"/>
    </row>
    <row r="17" spans="2:14" ht="12.75">
      <c r="B17" s="26" t="s">
        <v>71</v>
      </c>
      <c r="C17" s="289">
        <v>14080.15</v>
      </c>
      <c r="D17" s="24"/>
      <c r="E17" s="26" t="s">
        <v>72</v>
      </c>
      <c r="F17" s="150">
        <v>2</v>
      </c>
      <c r="G17" s="214">
        <f>K17+J17-I17-H17</f>
        <v>0</v>
      </c>
      <c r="H17" s="289">
        <f aca="true" t="shared" si="0" ref="H17:H26">J17+K17+I17</f>
        <v>598.1699999999998</v>
      </c>
      <c r="I17" s="214">
        <f>'project 2016'!F22</f>
        <v>0</v>
      </c>
      <c r="J17" s="216">
        <v>0</v>
      </c>
      <c r="K17" s="273">
        <f>'project 2016'!F20</f>
        <v>598.1699999999998</v>
      </c>
      <c r="L17" s="215" t="s">
        <v>106</v>
      </c>
      <c r="M17" s="216"/>
      <c r="N17" s="132"/>
    </row>
    <row r="18" spans="2:14" ht="12.75">
      <c r="B18" s="237" t="s">
        <v>167</v>
      </c>
      <c r="D18" s="24"/>
      <c r="E18" s="26" t="s">
        <v>74</v>
      </c>
      <c r="F18" s="150">
        <v>3</v>
      </c>
      <c r="G18" s="214">
        <f>K18+J18+I18-H18</f>
        <v>0</v>
      </c>
      <c r="H18" s="289">
        <f t="shared" si="0"/>
        <v>0.6300000000002228</v>
      </c>
      <c r="I18" s="214">
        <f>'project 2016'!F33+'project 2016'!F34</f>
        <v>-408.18</v>
      </c>
      <c r="J18" s="216">
        <v>0</v>
      </c>
      <c r="K18" s="273">
        <f>'project 2016'!F31</f>
        <v>408.81000000000023</v>
      </c>
      <c r="L18" s="214"/>
      <c r="M18" s="58"/>
      <c r="N18" s="132"/>
    </row>
    <row r="19" spans="2:14" ht="12.75">
      <c r="B19" s="26"/>
      <c r="C19" s="216"/>
      <c r="D19" s="24"/>
      <c r="E19" s="26" t="s">
        <v>75</v>
      </c>
      <c r="F19" s="150">
        <v>4</v>
      </c>
      <c r="G19" s="214"/>
      <c r="H19" s="289">
        <f t="shared" si="0"/>
        <v>99.23000000000008</v>
      </c>
      <c r="I19" s="215">
        <f>'project 2016'!F66</f>
        <v>-127.50000000000003</v>
      </c>
      <c r="J19" s="281">
        <v>7.78</v>
      </c>
      <c r="K19" s="273">
        <f>'project 2016'!F50</f>
        <v>218.9500000000001</v>
      </c>
      <c r="L19" s="252" t="s">
        <v>134</v>
      </c>
      <c r="M19" s="58"/>
      <c r="N19" s="132"/>
    </row>
    <row r="20" spans="2:14" ht="12.75">
      <c r="B20" s="26" t="s">
        <v>165</v>
      </c>
      <c r="C20" s="289">
        <f>7088.58+950-225-105.27</f>
        <v>7708.3099999999995</v>
      </c>
      <c r="D20" s="24"/>
      <c r="E20" s="26" t="s">
        <v>76</v>
      </c>
      <c r="F20" s="150">
        <v>5</v>
      </c>
      <c r="G20" s="214">
        <f>K20+J20-I20-H20</f>
        <v>0</v>
      </c>
      <c r="H20" s="289">
        <f t="shared" si="0"/>
        <v>2084</v>
      </c>
      <c r="I20" s="214">
        <f>'project 2016'!F77</f>
        <v>0</v>
      </c>
      <c r="J20" s="216">
        <v>0</v>
      </c>
      <c r="K20" s="273">
        <f>'project 2016'!F75</f>
        <v>2084</v>
      </c>
      <c r="L20" s="214"/>
      <c r="M20" s="58"/>
      <c r="N20" s="132"/>
    </row>
    <row r="21" spans="2:14" ht="12.75">
      <c r="B21" s="293" t="s">
        <v>166</v>
      </c>
      <c r="C21" s="265"/>
      <c r="D21" s="24"/>
      <c r="E21" s="26" t="s">
        <v>77</v>
      </c>
      <c r="F21" s="150">
        <v>6</v>
      </c>
      <c r="G21" s="214"/>
      <c r="H21" s="289">
        <f>SUM(I21:K21)</f>
        <v>100.1400000000001</v>
      </c>
      <c r="I21" s="214">
        <f>'project 2016'!F89</f>
        <v>-216.59</v>
      </c>
      <c r="J21" s="264">
        <f>'project 2016'!F85</f>
        <v>1250</v>
      </c>
      <c r="K21" s="280">
        <f>'project 2016'!F83</f>
        <v>-933.27</v>
      </c>
      <c r="L21" s="215" t="s">
        <v>133</v>
      </c>
      <c r="M21" s="216"/>
      <c r="N21" s="132"/>
    </row>
    <row r="22" spans="2:14" ht="12.75">
      <c r="B22" s="238"/>
      <c r="C22" s="265"/>
      <c r="D22" s="24"/>
      <c r="E22" s="26" t="s">
        <v>78</v>
      </c>
      <c r="F22" s="150">
        <v>7</v>
      </c>
      <c r="G22" s="214"/>
      <c r="H22" s="290">
        <f t="shared" si="0"/>
        <v>8153.309999999998</v>
      </c>
      <c r="I22" s="214">
        <f>'project 2016'!F119</f>
        <v>-17241.690000000002</v>
      </c>
      <c r="J22" s="264">
        <f>'project 2016'!F105+'project 2016'!F120+'project 2016'!F121</f>
        <v>20395</v>
      </c>
      <c r="K22" s="273">
        <f>'project 2016'!F98</f>
        <v>5000</v>
      </c>
      <c r="L22" s="215" t="s">
        <v>148</v>
      </c>
      <c r="M22" s="58"/>
      <c r="N22" s="132"/>
    </row>
    <row r="23" spans="2:14" ht="12.75">
      <c r="B23" s="238"/>
      <c r="C23" s="265"/>
      <c r="D23" s="24"/>
      <c r="E23" s="213" t="s">
        <v>107</v>
      </c>
      <c r="F23" s="220">
        <v>8</v>
      </c>
      <c r="G23" s="214">
        <f>SUM(H23:K23)</f>
        <v>0</v>
      </c>
      <c r="H23" s="289">
        <f t="shared" si="0"/>
        <v>0</v>
      </c>
      <c r="I23" s="214">
        <f>'project 2016'!F132</f>
        <v>-1500</v>
      </c>
      <c r="J23" s="264">
        <f>'project 2016'!F129</f>
        <v>1500</v>
      </c>
      <c r="K23" s="274">
        <f>'project 2016'!F127</f>
        <v>0</v>
      </c>
      <c r="L23" s="215"/>
      <c r="M23" s="58"/>
      <c r="N23" s="132"/>
    </row>
    <row r="24" spans="2:14" ht="12.75">
      <c r="B24" s="26"/>
      <c r="C24" s="216"/>
      <c r="D24" s="24"/>
      <c r="E24" s="213" t="s">
        <v>104</v>
      </c>
      <c r="F24" s="220">
        <v>9</v>
      </c>
      <c r="G24" s="214"/>
      <c r="H24" s="289">
        <f t="shared" si="0"/>
        <v>48.66</v>
      </c>
      <c r="I24" s="39">
        <f>-151.34</f>
        <v>-151.34</v>
      </c>
      <c r="J24" s="264">
        <f>'project 2016'!F139</f>
        <v>200</v>
      </c>
      <c r="K24" s="274">
        <f>'project 2016'!F137</f>
        <v>0</v>
      </c>
      <c r="L24" s="214"/>
      <c r="M24" s="58"/>
      <c r="N24" s="132"/>
    </row>
    <row r="25" spans="2:14" ht="12.75">
      <c r="B25" s="26"/>
      <c r="C25" s="216"/>
      <c r="D25" s="24"/>
      <c r="E25" s="213" t="s">
        <v>103</v>
      </c>
      <c r="F25" s="220">
        <v>10</v>
      </c>
      <c r="G25" s="214">
        <f>I25+J25</f>
        <v>-0.009999999999990905</v>
      </c>
      <c r="H25" s="289"/>
      <c r="I25" s="214">
        <f>'project 2016'!F150</f>
        <v>-300.01</v>
      </c>
      <c r="J25" s="264">
        <v>300</v>
      </c>
      <c r="K25" s="274">
        <f>'project 2016'!F145</f>
        <v>0</v>
      </c>
      <c r="L25" s="215" t="s">
        <v>221</v>
      </c>
      <c r="M25" s="58"/>
      <c r="N25" s="132"/>
    </row>
    <row r="26" spans="2:14" ht="12.75">
      <c r="B26" s="26"/>
      <c r="C26" s="216"/>
      <c r="D26" s="24"/>
      <c r="E26" s="213" t="s">
        <v>121</v>
      </c>
      <c r="F26" s="220">
        <v>11</v>
      </c>
      <c r="G26" s="214"/>
      <c r="H26" s="289">
        <f t="shared" si="0"/>
        <v>10000</v>
      </c>
      <c r="I26" s="214"/>
      <c r="J26" s="266">
        <f>10000</f>
        <v>10000</v>
      </c>
      <c r="K26" s="274"/>
      <c r="L26" s="214"/>
      <c r="M26" s="58"/>
      <c r="N26" s="132"/>
    </row>
    <row r="27" spans="2:14" ht="12.75">
      <c r="B27" s="26"/>
      <c r="C27" s="216"/>
      <c r="D27" s="24"/>
      <c r="E27" s="213"/>
      <c r="F27" s="220"/>
      <c r="G27" s="235"/>
      <c r="H27" s="265"/>
      <c r="I27" s="214"/>
      <c r="J27" s="267"/>
      <c r="K27" s="274"/>
      <c r="L27" s="214"/>
      <c r="M27" s="58"/>
      <c r="N27" s="132"/>
    </row>
    <row r="28" spans="2:14" ht="12.75">
      <c r="B28" s="26"/>
      <c r="C28" s="216"/>
      <c r="D28" s="24"/>
      <c r="E28" s="238" t="s">
        <v>149</v>
      </c>
      <c r="F28" s="220"/>
      <c r="G28" s="235"/>
      <c r="H28" s="265"/>
      <c r="I28" s="214"/>
      <c r="J28" s="267"/>
      <c r="K28" s="280">
        <f>-545.67+1250</f>
        <v>704.33</v>
      </c>
      <c r="L28" s="214"/>
      <c r="M28" s="216"/>
      <c r="N28" s="132"/>
    </row>
    <row r="29" spans="2:13" ht="13.5" thickBot="1">
      <c r="B29" s="26"/>
      <c r="C29" s="216"/>
      <c r="D29" s="24"/>
      <c r="E29" s="268" t="s">
        <v>163</v>
      </c>
      <c r="F29" s="192">
        <v>12</v>
      </c>
      <c r="G29" s="249">
        <f>G30+G25</f>
        <v>704.3100000000034</v>
      </c>
      <c r="H29" s="216"/>
      <c r="I29" s="214"/>
      <c r="J29" s="216"/>
      <c r="K29" s="274"/>
      <c r="L29" s="214"/>
      <c r="M29" s="58"/>
    </row>
    <row r="30" spans="2:14" ht="15.75" thickBot="1">
      <c r="B30" s="206" t="s">
        <v>98</v>
      </c>
      <c r="C30" s="291">
        <f>SUM(C16:C29)</f>
        <v>22178.15</v>
      </c>
      <c r="D30" s="208"/>
      <c r="E30" s="206" t="s">
        <v>79</v>
      </c>
      <c r="F30" s="208"/>
      <c r="G30" s="207">
        <f>C30-H30</f>
        <v>704.3200000000033</v>
      </c>
      <c r="H30" s="209">
        <f>SUM(H15:H29)</f>
        <v>21473.829999999998</v>
      </c>
      <c r="I30" s="207">
        <f>SUM(I16:I29)</f>
        <v>-20253.96</v>
      </c>
      <c r="J30" s="209">
        <f>SUM(J16:J29)</f>
        <v>33654.95</v>
      </c>
      <c r="K30" s="275">
        <f>SUM(K15:K29)</f>
        <v>8777.16</v>
      </c>
      <c r="L30" s="217"/>
      <c r="M30" s="218"/>
      <c r="N30" s="132"/>
    </row>
    <row r="31" spans="3:13" ht="12.75">
      <c r="C31" s="132"/>
      <c r="G31" s="236"/>
      <c r="H31" s="132"/>
      <c r="I31" s="132"/>
      <c r="J31" s="132"/>
      <c r="K31" s="132"/>
      <c r="L31" s="132"/>
      <c r="M31" s="132"/>
    </row>
    <row r="32" spans="2:14" ht="12.75">
      <c r="B32" s="121"/>
      <c r="C32" s="133"/>
      <c r="D32" s="121"/>
      <c r="E32" s="133"/>
      <c r="F32" s="121"/>
      <c r="G32" s="282">
        <f>SUM(G30:H30)</f>
        <v>22178.15</v>
      </c>
      <c r="H32" s="282"/>
      <c r="I32" s="133">
        <f>SUM(I30:K30)</f>
        <v>22178.149999999998</v>
      </c>
      <c r="J32" s="133"/>
      <c r="K32" s="133"/>
      <c r="L32" s="133"/>
      <c r="M32" s="121"/>
      <c r="N32" s="132"/>
    </row>
    <row r="33" spans="2:13" ht="12.75">
      <c r="B33" s="121"/>
      <c r="C33" s="133"/>
      <c r="D33" s="121"/>
      <c r="E33" s="133"/>
      <c r="F33" s="121"/>
      <c r="G33" s="133"/>
      <c r="H33" s="133"/>
      <c r="I33" s="133"/>
      <c r="J33" s="133">
        <f>J30+I30</f>
        <v>13400.989999999998</v>
      </c>
      <c r="K33" s="279"/>
      <c r="L33" s="133"/>
      <c r="M33" s="121"/>
    </row>
    <row r="34" spans="2:13" ht="12.75">
      <c r="B34" s="256"/>
      <c r="C34" s="133"/>
      <c r="D34" s="121"/>
      <c r="E34" s="133"/>
      <c r="F34" s="121"/>
      <c r="G34" s="133"/>
      <c r="H34" s="133"/>
      <c r="I34" s="133"/>
      <c r="J34" s="121"/>
      <c r="K34" s="150"/>
      <c r="L34" s="133"/>
      <c r="M34" s="121"/>
    </row>
    <row r="35" spans="2:13" ht="12.75">
      <c r="B35" s="121"/>
      <c r="C35" s="121"/>
      <c r="D35" s="121"/>
      <c r="E35" s="133"/>
      <c r="F35" s="121"/>
      <c r="G35" s="121"/>
      <c r="H35" s="121"/>
      <c r="I35" s="133"/>
      <c r="J35" s="121"/>
      <c r="K35" s="150"/>
      <c r="L35" s="121"/>
      <c r="M35" s="121"/>
    </row>
    <row r="36" spans="2:13" ht="12.75">
      <c r="B36" s="121"/>
      <c r="C36" s="133"/>
      <c r="D36" s="121"/>
      <c r="E36" s="121"/>
      <c r="F36" s="121"/>
      <c r="G36" s="121"/>
      <c r="H36" s="121"/>
      <c r="I36" s="133"/>
      <c r="J36" s="121"/>
      <c r="K36" s="150"/>
      <c r="L36" s="121"/>
      <c r="M36" s="121"/>
    </row>
    <row r="37" spans="2:13" ht="12.75">
      <c r="B37" s="121"/>
      <c r="C37" s="121"/>
      <c r="D37" s="121"/>
      <c r="E37" s="121"/>
      <c r="F37" s="121"/>
      <c r="G37" s="121"/>
      <c r="H37" s="121"/>
      <c r="I37" s="150"/>
      <c r="J37" s="121"/>
      <c r="K37" s="150"/>
      <c r="L37" s="150"/>
      <c r="M37" s="150"/>
    </row>
    <row r="38" spans="2:13" ht="13.5">
      <c r="B38" s="133"/>
      <c r="C38" s="133"/>
      <c r="D38" s="121"/>
      <c r="E38" s="133"/>
      <c r="F38" s="121"/>
      <c r="G38" s="121"/>
      <c r="H38" s="121"/>
      <c r="I38" s="250"/>
      <c r="J38" s="121"/>
      <c r="K38" s="150"/>
      <c r="L38" s="150"/>
      <c r="M38" s="150"/>
    </row>
    <row r="39" spans="2:13" ht="12.75">
      <c r="B39" s="121"/>
      <c r="C39" s="121"/>
      <c r="D39" s="121"/>
      <c r="E39" s="121"/>
      <c r="F39" s="121"/>
      <c r="G39" s="121"/>
      <c r="H39" s="121"/>
      <c r="I39" s="251"/>
      <c r="J39" s="121"/>
      <c r="K39" s="150"/>
      <c r="L39" s="150"/>
      <c r="M39" s="150"/>
    </row>
    <row r="40" spans="2:13" ht="12.75">
      <c r="B40" s="121"/>
      <c r="C40" s="121"/>
      <c r="D40" s="121"/>
      <c r="E40" s="133"/>
      <c r="F40" s="121"/>
      <c r="G40" s="121"/>
      <c r="H40" s="121"/>
      <c r="I40" s="252"/>
      <c r="J40" s="121"/>
      <c r="K40" s="150"/>
      <c r="L40" s="252"/>
      <c r="M40" s="150"/>
    </row>
    <row r="41" spans="2:13" ht="12.75">
      <c r="B41" s="121"/>
      <c r="C41" s="121"/>
      <c r="D41" s="121"/>
      <c r="E41" s="121"/>
      <c r="F41" s="121"/>
      <c r="G41" s="121"/>
      <c r="H41" s="121"/>
      <c r="I41" s="252"/>
      <c r="J41" s="121"/>
      <c r="K41" s="150"/>
      <c r="L41" s="252"/>
      <c r="M41" s="150"/>
    </row>
    <row r="42" spans="9:13" ht="12.75">
      <c r="I42" s="252"/>
      <c r="K42" s="150"/>
      <c r="L42" s="252"/>
      <c r="M42" s="150"/>
    </row>
    <row r="43" spans="9:13" ht="12.75">
      <c r="I43" s="252"/>
      <c r="K43" s="150"/>
      <c r="L43" s="252"/>
      <c r="M43" s="150"/>
    </row>
    <row r="44" spans="7:13" ht="12.75">
      <c r="G44" s="150"/>
      <c r="H44" s="224"/>
      <c r="I44" s="252"/>
      <c r="K44" s="278"/>
      <c r="L44" s="252"/>
      <c r="M44" s="150"/>
    </row>
    <row r="45" spans="7:13" ht="12.75">
      <c r="G45" s="150"/>
      <c r="H45" s="224"/>
      <c r="I45" s="252"/>
      <c r="J45" s="150"/>
      <c r="K45" s="253"/>
      <c r="L45" s="252"/>
      <c r="M45" s="150"/>
    </row>
    <row r="46" spans="7:13" ht="12.75">
      <c r="G46" s="150"/>
      <c r="H46" s="224"/>
      <c r="I46" s="252"/>
      <c r="J46" s="150"/>
      <c r="K46" s="224"/>
      <c r="L46" s="252"/>
      <c r="M46" s="150"/>
    </row>
    <row r="47" spans="8:13" ht="12.75">
      <c r="H47" s="224"/>
      <c r="I47" s="252"/>
      <c r="J47" s="150"/>
      <c r="K47" s="224"/>
      <c r="L47" s="252"/>
      <c r="M47" s="150"/>
    </row>
    <row r="48" spans="8:13" ht="12.75">
      <c r="H48" s="224"/>
      <c r="I48" s="252"/>
      <c r="J48" s="150"/>
      <c r="K48" s="253"/>
      <c r="L48" s="252"/>
      <c r="M48" s="150"/>
    </row>
    <row r="49" spans="8:13" ht="12.75">
      <c r="H49" s="224"/>
      <c r="I49" s="252"/>
      <c r="J49" s="150"/>
      <c r="K49" s="150"/>
      <c r="L49" s="150"/>
      <c r="M49" s="150"/>
    </row>
    <row r="50" spans="8:13" ht="12.75">
      <c r="H50" s="224"/>
      <c r="I50" s="252"/>
      <c r="J50" s="150"/>
      <c r="K50" s="253"/>
      <c r="L50" s="235"/>
      <c r="M50" s="150"/>
    </row>
    <row r="51" spans="8:13" ht="12.75">
      <c r="H51" s="224"/>
      <c r="I51" s="252"/>
      <c r="J51" s="150"/>
      <c r="K51" s="224"/>
      <c r="L51" s="235"/>
      <c r="M51" s="150"/>
    </row>
    <row r="52" spans="8:13" ht="12.75">
      <c r="H52" s="224"/>
      <c r="I52" s="252"/>
      <c r="J52" s="150"/>
      <c r="K52" s="150"/>
      <c r="L52" s="235"/>
      <c r="M52" s="150"/>
    </row>
    <row r="53" spans="8:13" ht="12.75">
      <c r="H53" s="224"/>
      <c r="I53" s="150"/>
      <c r="J53" s="150"/>
      <c r="K53" s="150"/>
      <c r="L53" s="150"/>
      <c r="M53" s="150"/>
    </row>
    <row r="54" spans="8:13" ht="12.75">
      <c r="H54" s="224"/>
      <c r="I54" s="150"/>
      <c r="J54" s="150"/>
      <c r="K54" s="150"/>
      <c r="L54" s="150"/>
      <c r="M54" s="150"/>
    </row>
    <row r="55" spans="8:13" ht="12.75">
      <c r="H55" s="150"/>
      <c r="I55" s="150"/>
      <c r="J55" s="150"/>
      <c r="K55" s="150"/>
      <c r="L55" s="150"/>
      <c r="M55" s="150"/>
    </row>
    <row r="56" spans="8:13" ht="12.75">
      <c r="H56" s="150"/>
      <c r="I56" s="150"/>
      <c r="J56" s="150"/>
      <c r="K56" s="150"/>
      <c r="L56" s="150"/>
      <c r="M56" s="150"/>
    </row>
    <row r="57" spans="8:13" ht="12.75">
      <c r="H57" s="150"/>
      <c r="I57" s="150"/>
      <c r="J57" s="150"/>
      <c r="K57" s="150"/>
      <c r="L57" s="150"/>
      <c r="M57" s="150"/>
    </row>
    <row r="58" spans="8:13" ht="12.75">
      <c r="H58" s="150"/>
      <c r="I58" s="150"/>
      <c r="J58" s="150"/>
      <c r="K58" s="150"/>
      <c r="L58" s="150"/>
      <c r="M58" s="150"/>
    </row>
    <row r="59" spans="7:13" ht="12.75">
      <c r="G59" s="150"/>
      <c r="H59" s="150"/>
      <c r="I59" s="150"/>
      <c r="J59" s="150"/>
      <c r="K59" s="150"/>
      <c r="L59" s="150"/>
      <c r="M59" s="150"/>
    </row>
  </sheetData>
  <sheetProtection/>
  <printOptions/>
  <pageMargins left="0.75" right="0.75" top="1" bottom="1" header="0.5" footer="0.5"/>
  <pageSetup fitToHeight="1" fitToWidth="1" horizontalDpi="360" verticalDpi="360" orientation="landscape" paperSize="9" scale="6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4"/>
  <sheetViews>
    <sheetView zoomScalePageLayoutView="0" workbookViewId="0" topLeftCell="A118">
      <selection activeCell="H134" sqref="H134"/>
    </sheetView>
  </sheetViews>
  <sheetFormatPr defaultColWidth="9.140625" defaultRowHeight="12.75"/>
  <cols>
    <col min="2" max="2" width="14.8515625" style="0" bestFit="1" customWidth="1"/>
    <col min="3" max="3" width="11.8515625" style="0" bestFit="1" customWidth="1"/>
    <col min="4" max="4" width="13.421875" style="0" customWidth="1"/>
    <col min="5" max="5" width="17.7109375" style="0" customWidth="1"/>
    <col min="6" max="6" width="17.7109375" style="0" bestFit="1" customWidth="1"/>
    <col min="7" max="7" width="3.8515625" style="121" customWidth="1"/>
    <col min="8" max="8" width="17.140625" style="121" customWidth="1"/>
    <col min="9" max="9" width="50.57421875" style="0" customWidth="1"/>
    <col min="10" max="10" width="16.8515625" style="0" customWidth="1"/>
    <col min="11" max="11" width="12.28125" style="0" customWidth="1"/>
    <col min="12" max="12" width="14.00390625" style="0" customWidth="1"/>
  </cols>
  <sheetData>
    <row r="1" spans="2:18" ht="21">
      <c r="B1" s="171" t="s">
        <v>69</v>
      </c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</row>
    <row r="2" spans="2:18" ht="18" customHeight="1">
      <c r="B2" s="287">
        <f>'fin overz 31 dec 2016'!C7</f>
        <v>42735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</row>
    <row r="3" spans="7:18" ht="12.75" hidden="1"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</row>
    <row r="4" spans="7:18" ht="13.5" thickBot="1"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</row>
    <row r="5" spans="2:18" ht="13.5" thickBot="1">
      <c r="B5" s="416" t="s">
        <v>130</v>
      </c>
      <c r="C5" s="417"/>
      <c r="D5" s="418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</row>
    <row r="6" spans="2:18" ht="15.75" customHeight="1">
      <c r="B6" s="255" t="s">
        <v>1</v>
      </c>
      <c r="C6" s="426"/>
      <c r="D6" s="426"/>
      <c r="E6" s="222" t="s">
        <v>110</v>
      </c>
      <c r="F6" s="174" t="s">
        <v>129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</row>
    <row r="7" spans="2:18" ht="15" hidden="1">
      <c r="B7" s="427">
        <v>42004</v>
      </c>
      <c r="C7" s="191" t="s">
        <v>2</v>
      </c>
      <c r="D7" s="189"/>
      <c r="E7" s="189"/>
      <c r="F7" s="193">
        <v>692.38</v>
      </c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</row>
    <row r="8" spans="2:18" ht="15" hidden="1">
      <c r="B8" s="124"/>
      <c r="C8" s="117" t="s">
        <v>50</v>
      </c>
      <c r="D8" s="122"/>
      <c r="E8" s="122"/>
      <c r="F8" s="118">
        <v>3.79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</row>
    <row r="9" spans="2:18" ht="15">
      <c r="B9" s="124"/>
      <c r="C9" s="117" t="s">
        <v>61</v>
      </c>
      <c r="D9" s="122"/>
      <c r="E9" s="122"/>
      <c r="F9" s="118">
        <f>SUM(F7:F8)</f>
        <v>696.17</v>
      </c>
      <c r="G9" s="150"/>
      <c r="H9" s="150"/>
      <c r="I9" s="150"/>
      <c r="J9" s="235"/>
      <c r="K9" s="150"/>
      <c r="L9" s="150"/>
      <c r="M9" s="150"/>
      <c r="N9" s="150"/>
      <c r="O9" s="150"/>
      <c r="P9" s="150"/>
      <c r="Q9" s="150"/>
      <c r="R9" s="150"/>
    </row>
    <row r="10" spans="2:18" ht="15">
      <c r="B10" s="180"/>
      <c r="C10" s="175" t="s">
        <v>80</v>
      </c>
      <c r="D10" s="176"/>
      <c r="E10" s="176"/>
      <c r="F10" s="181"/>
      <c r="G10" s="150"/>
      <c r="H10" s="224"/>
      <c r="I10" s="150"/>
      <c r="J10" s="235"/>
      <c r="K10" s="150"/>
      <c r="L10" s="150"/>
      <c r="M10" s="150"/>
      <c r="N10" s="150"/>
      <c r="O10" s="150"/>
      <c r="P10" s="150"/>
      <c r="Q10" s="150"/>
      <c r="R10" s="150"/>
    </row>
    <row r="11" spans="2:18" ht="15">
      <c r="B11" s="180"/>
      <c r="C11" s="175" t="s">
        <v>63</v>
      </c>
      <c r="D11" s="176"/>
      <c r="E11" s="176"/>
      <c r="F11" s="181">
        <v>2.17</v>
      </c>
      <c r="G11" s="150"/>
      <c r="H11" s="150"/>
      <c r="I11" s="150"/>
      <c r="J11" s="235"/>
      <c r="K11" s="150"/>
      <c r="L11" s="150"/>
      <c r="M11" s="150"/>
      <c r="N11" s="150"/>
      <c r="O11" s="150"/>
      <c r="P11" s="150"/>
      <c r="Q11" s="150"/>
      <c r="R11" s="150"/>
    </row>
    <row r="12" spans="2:18" ht="15">
      <c r="B12" s="180">
        <v>42612</v>
      </c>
      <c r="C12" s="175" t="s">
        <v>126</v>
      </c>
      <c r="D12" s="176"/>
      <c r="E12" s="176"/>
      <c r="F12" s="181">
        <f>-308.65</f>
        <v>-308.65</v>
      </c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</row>
    <row r="13" spans="2:18" ht="17.25">
      <c r="B13" s="428">
        <f>B2</f>
        <v>42735</v>
      </c>
      <c r="C13" s="263" t="s">
        <v>2</v>
      </c>
      <c r="D13" s="261"/>
      <c r="E13" s="189"/>
      <c r="F13" s="193">
        <f>F9+F11+F12</f>
        <v>389.68999999999994</v>
      </c>
      <c r="G13" s="150"/>
      <c r="H13" s="224"/>
      <c r="I13" s="150"/>
      <c r="J13" s="224"/>
      <c r="K13" s="150"/>
      <c r="L13" s="150"/>
      <c r="M13" s="150"/>
      <c r="N13" s="150"/>
      <c r="O13" s="150"/>
      <c r="P13" s="150"/>
      <c r="Q13" s="150"/>
      <c r="R13" s="150"/>
    </row>
    <row r="14" spans="2:18" ht="15.75" thickBot="1">
      <c r="B14" s="182"/>
      <c r="C14" s="164"/>
      <c r="D14" s="183"/>
      <c r="E14" s="183"/>
      <c r="F14" s="184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</row>
    <row r="15" spans="2:18" ht="11.25" customHeight="1" thickBot="1">
      <c r="B15" s="24"/>
      <c r="C15" s="24"/>
      <c r="D15" s="24"/>
      <c r="E15" s="24"/>
      <c r="F15" s="24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</row>
    <row r="16" spans="2:18" ht="12.75" hidden="1">
      <c r="B16" s="24"/>
      <c r="C16" s="24"/>
      <c r="D16" s="24"/>
      <c r="E16" s="24"/>
      <c r="F16" s="24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</row>
    <row r="17" spans="2:18" ht="15">
      <c r="B17" s="429" t="s">
        <v>108</v>
      </c>
      <c r="C17" s="177"/>
      <c r="D17" s="178"/>
      <c r="E17" s="222" t="s">
        <v>109</v>
      </c>
      <c r="F17" s="179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</row>
    <row r="18" spans="2:18" ht="1.5" customHeight="1">
      <c r="B18" s="430">
        <v>42004</v>
      </c>
      <c r="C18" s="191" t="s">
        <v>2</v>
      </c>
      <c r="D18" s="261"/>
      <c r="E18" s="261"/>
      <c r="F18" s="431">
        <v>780.7799999999999</v>
      </c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</row>
    <row r="19" spans="2:18" ht="15" hidden="1">
      <c r="B19" s="124">
        <v>42109</v>
      </c>
      <c r="C19" s="117" t="s">
        <v>51</v>
      </c>
      <c r="D19" s="123"/>
      <c r="E19" s="123"/>
      <c r="F19" s="125">
        <v>-182.61</v>
      </c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</row>
    <row r="20" spans="2:18" ht="15">
      <c r="B20" s="124"/>
      <c r="C20" s="117" t="s">
        <v>61</v>
      </c>
      <c r="D20" s="123"/>
      <c r="E20" s="123"/>
      <c r="F20" s="125">
        <v>598.1699999999998</v>
      </c>
      <c r="G20" s="150"/>
      <c r="H20" s="150"/>
      <c r="I20" s="150"/>
      <c r="J20" s="150"/>
      <c r="K20" s="150"/>
      <c r="L20" s="150"/>
      <c r="M20" s="150"/>
      <c r="N20" s="150"/>
      <c r="O20" s="150"/>
      <c r="P20" s="150"/>
      <c r="Q20" s="150"/>
      <c r="R20" s="150"/>
    </row>
    <row r="21" spans="2:18" ht="15">
      <c r="B21" s="139"/>
      <c r="C21" s="140" t="s">
        <v>81</v>
      </c>
      <c r="D21" s="141"/>
      <c r="E21" s="141"/>
      <c r="F21" s="142"/>
      <c r="G21" s="150"/>
      <c r="H21" s="150"/>
      <c r="I21" s="150"/>
      <c r="J21" s="150"/>
      <c r="K21" s="235"/>
      <c r="L21" s="235"/>
      <c r="M21" s="150"/>
      <c r="N21" s="150"/>
      <c r="O21" s="150"/>
      <c r="P21" s="150"/>
      <c r="Q21" s="150"/>
      <c r="R21" s="150"/>
    </row>
    <row r="22" spans="2:18" ht="15">
      <c r="B22" s="139"/>
      <c r="C22" s="140" t="s">
        <v>82</v>
      </c>
      <c r="D22" s="141"/>
      <c r="E22" s="141"/>
      <c r="F22" s="142">
        <v>0</v>
      </c>
      <c r="G22" s="150"/>
      <c r="H22" s="150"/>
      <c r="I22" s="150"/>
      <c r="J22" s="150"/>
      <c r="K22" s="235"/>
      <c r="L22" s="235"/>
      <c r="M22" s="150"/>
      <c r="N22" s="150"/>
      <c r="O22" s="150"/>
      <c r="P22" s="150"/>
      <c r="Q22" s="150"/>
      <c r="R22" s="150"/>
    </row>
    <row r="23" spans="2:18" ht="17.25">
      <c r="B23" s="428">
        <f>B2</f>
        <v>42735</v>
      </c>
      <c r="C23" s="263" t="str">
        <f>C13</f>
        <v>Saldo</v>
      </c>
      <c r="D23" s="189"/>
      <c r="E23" s="189"/>
      <c r="F23" s="193">
        <v>598.1699999999998</v>
      </c>
      <c r="G23" s="224"/>
      <c r="H23" s="150"/>
      <c r="I23" s="150"/>
      <c r="J23" s="150"/>
      <c r="K23" s="235"/>
      <c r="L23" s="235"/>
      <c r="M23" s="150"/>
      <c r="N23" s="150"/>
      <c r="O23" s="150"/>
      <c r="P23" s="150"/>
      <c r="Q23" s="150"/>
      <c r="R23" s="150"/>
    </row>
    <row r="24" spans="2:18" ht="15.75" thickBot="1">
      <c r="B24" s="143"/>
      <c r="C24" s="144"/>
      <c r="D24" s="145"/>
      <c r="E24" s="145"/>
      <c r="F24" s="146"/>
      <c r="G24" s="150"/>
      <c r="H24" s="150"/>
      <c r="I24" s="150"/>
      <c r="J24" s="150"/>
      <c r="K24" s="235"/>
      <c r="L24" s="235"/>
      <c r="M24" s="150"/>
      <c r="N24" s="150"/>
      <c r="O24" s="150"/>
      <c r="P24" s="150"/>
      <c r="Q24" s="150"/>
      <c r="R24" s="150"/>
    </row>
    <row r="25" spans="2:18" ht="18.75" customHeight="1">
      <c r="B25" s="422"/>
      <c r="C25" s="149"/>
      <c r="D25" s="150"/>
      <c r="E25" s="150"/>
      <c r="F25" s="423"/>
      <c r="G25" s="150"/>
      <c r="H25" s="150"/>
      <c r="I25" s="150"/>
      <c r="J25" s="150"/>
      <c r="K25" s="235"/>
      <c r="L25" s="235"/>
      <c r="M25" s="150"/>
      <c r="N25" s="150"/>
      <c r="O25" s="150"/>
      <c r="P25" s="150"/>
      <c r="Q25" s="150"/>
      <c r="R25" s="150"/>
    </row>
    <row r="26" spans="1:18" ht="1.5" customHeight="1" thickBot="1">
      <c r="A26" s="24"/>
      <c r="B26" s="422"/>
      <c r="C26" s="149"/>
      <c r="D26" s="150"/>
      <c r="E26" s="150"/>
      <c r="F26" s="423"/>
      <c r="G26" s="150"/>
      <c r="H26" s="150"/>
      <c r="I26" s="150"/>
      <c r="J26" s="150"/>
      <c r="K26" s="235"/>
      <c r="L26" s="235"/>
      <c r="M26" s="150"/>
      <c r="N26" s="150"/>
      <c r="O26" s="150"/>
      <c r="P26" s="150"/>
      <c r="Q26" s="150"/>
      <c r="R26" s="150"/>
    </row>
    <row r="27" spans="2:18" ht="15">
      <c r="B27" s="255" t="s">
        <v>0</v>
      </c>
      <c r="C27" s="426"/>
      <c r="D27" s="426"/>
      <c r="E27" s="221" t="s">
        <v>111</v>
      </c>
      <c r="F27" s="174"/>
      <c r="G27" s="150"/>
      <c r="H27" s="150"/>
      <c r="I27" s="224"/>
      <c r="J27" s="220"/>
      <c r="K27" s="235"/>
      <c r="L27" s="235"/>
      <c r="M27" s="150"/>
      <c r="N27" s="150"/>
      <c r="O27" s="150"/>
      <c r="P27" s="150"/>
      <c r="Q27" s="150"/>
      <c r="R27" s="150"/>
    </row>
    <row r="28" spans="2:18" ht="1.5" customHeight="1">
      <c r="B28" s="190">
        <v>42004</v>
      </c>
      <c r="C28" s="191" t="s">
        <v>2</v>
      </c>
      <c r="D28" s="191"/>
      <c r="E28" s="191"/>
      <c r="F28" s="193">
        <v>767.1400000000002</v>
      </c>
      <c r="G28" s="150"/>
      <c r="H28" s="150"/>
      <c r="I28" s="224"/>
      <c r="J28" s="220"/>
      <c r="K28" s="235"/>
      <c r="L28" s="235"/>
      <c r="M28" s="150"/>
      <c r="N28" s="150"/>
      <c r="O28" s="150"/>
      <c r="P28" s="150"/>
      <c r="Q28" s="150"/>
      <c r="R28" s="150"/>
    </row>
    <row r="29" spans="2:18" ht="15" hidden="1">
      <c r="B29" s="127">
        <v>42278</v>
      </c>
      <c r="C29" s="117" t="s">
        <v>55</v>
      </c>
      <c r="D29" s="117"/>
      <c r="E29" s="117"/>
      <c r="F29" s="118">
        <v>-289.38</v>
      </c>
      <c r="G29" s="150"/>
      <c r="H29" s="150"/>
      <c r="I29" s="224"/>
      <c r="J29" s="220"/>
      <c r="K29" s="235"/>
      <c r="L29" s="235"/>
      <c r="M29" s="150"/>
      <c r="N29" s="150"/>
      <c r="O29" s="150"/>
      <c r="P29" s="150"/>
      <c r="Q29" s="150"/>
      <c r="R29" s="150"/>
    </row>
    <row r="30" spans="2:18" ht="15" hidden="1">
      <c r="B30" s="127">
        <v>42307</v>
      </c>
      <c r="C30" s="117" t="s">
        <v>58</v>
      </c>
      <c r="D30" s="117"/>
      <c r="E30" s="117"/>
      <c r="F30" s="118">
        <v>-68.95</v>
      </c>
      <c r="G30" s="150"/>
      <c r="H30" s="150"/>
      <c r="I30" s="224"/>
      <c r="J30" s="220"/>
      <c r="K30" s="235"/>
      <c r="L30" s="235"/>
      <c r="M30" s="150"/>
      <c r="N30" s="150"/>
      <c r="O30" s="150"/>
      <c r="P30" s="150"/>
      <c r="Q30" s="150"/>
      <c r="R30" s="150"/>
    </row>
    <row r="31" spans="2:18" ht="15">
      <c r="B31" s="127"/>
      <c r="C31" s="117" t="s">
        <v>61</v>
      </c>
      <c r="D31" s="117"/>
      <c r="E31" s="117"/>
      <c r="F31" s="118">
        <v>408.81000000000023</v>
      </c>
      <c r="G31" s="150"/>
      <c r="H31" s="150"/>
      <c r="I31" s="224"/>
      <c r="J31" s="220"/>
      <c r="K31" s="235"/>
      <c r="L31" s="235"/>
      <c r="M31" s="150"/>
      <c r="N31" s="150"/>
      <c r="O31" s="150"/>
      <c r="P31" s="150"/>
      <c r="Q31" s="150"/>
      <c r="R31" s="150"/>
    </row>
    <row r="32" spans="2:18" ht="15">
      <c r="B32" s="139"/>
      <c r="C32" s="140" t="s">
        <v>81</v>
      </c>
      <c r="D32" s="141"/>
      <c r="E32" s="141"/>
      <c r="F32" s="142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</row>
    <row r="33" spans="2:18" ht="15">
      <c r="B33" s="139">
        <v>42696</v>
      </c>
      <c r="C33" s="140" t="s">
        <v>144</v>
      </c>
      <c r="D33" s="141"/>
      <c r="E33" s="141"/>
      <c r="F33" s="142">
        <v>-293.68</v>
      </c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</row>
    <row r="34" spans="2:18" ht="15">
      <c r="B34" s="139">
        <v>42697</v>
      </c>
      <c r="C34" s="140" t="s">
        <v>145</v>
      </c>
      <c r="D34" s="141"/>
      <c r="E34" s="141"/>
      <c r="F34" s="142">
        <v>-114.5</v>
      </c>
      <c r="G34" s="150"/>
      <c r="H34" s="235"/>
      <c r="I34" s="150"/>
      <c r="J34" s="150"/>
      <c r="K34" s="150"/>
      <c r="L34" s="150"/>
      <c r="M34" s="150"/>
      <c r="N34" s="150"/>
      <c r="O34" s="150"/>
      <c r="P34" s="150"/>
      <c r="Q34" s="150"/>
      <c r="R34" s="150"/>
    </row>
    <row r="35" spans="2:18" ht="17.25">
      <c r="B35" s="428">
        <f>B23</f>
        <v>42735</v>
      </c>
      <c r="C35" s="263" t="str">
        <f>C23</f>
        <v>Saldo</v>
      </c>
      <c r="D35" s="189"/>
      <c r="E35" s="189"/>
      <c r="F35" s="193">
        <f>SUM(F31:F34)</f>
        <v>0.6300000000002228</v>
      </c>
      <c r="G35" s="224"/>
      <c r="H35" s="150"/>
      <c r="I35" s="150"/>
      <c r="J35" s="150"/>
      <c r="K35" s="150"/>
      <c r="L35" s="150"/>
      <c r="M35" s="150"/>
      <c r="N35" s="150"/>
      <c r="O35" s="150"/>
      <c r="P35" s="150"/>
      <c r="Q35" s="150"/>
      <c r="R35" s="150"/>
    </row>
    <row r="36" spans="2:18" ht="15.75" thickBot="1">
      <c r="B36" s="143"/>
      <c r="C36" s="144"/>
      <c r="D36" s="145"/>
      <c r="E36" s="145"/>
      <c r="F36" s="146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</row>
    <row r="37" spans="2:18" ht="9" customHeight="1" thickBot="1">
      <c r="B37" s="84"/>
      <c r="C37" s="23"/>
      <c r="D37" s="23"/>
      <c r="E37" s="23"/>
      <c r="F37" s="23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</row>
    <row r="38" spans="2:18" ht="15" hidden="1">
      <c r="B38" s="84"/>
      <c r="C38" s="29"/>
      <c r="D38" s="29"/>
      <c r="E38" s="29"/>
      <c r="F38" s="82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</row>
    <row r="39" spans="2:18" ht="15">
      <c r="B39" s="432" t="s">
        <v>39</v>
      </c>
      <c r="C39" s="177"/>
      <c r="D39" s="177"/>
      <c r="E39" s="222" t="s">
        <v>112</v>
      </c>
      <c r="F39" s="433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</row>
    <row r="40" spans="2:18" ht="2.25" customHeight="1">
      <c r="B40" s="190">
        <v>42004</v>
      </c>
      <c r="C40" s="191" t="s">
        <v>2</v>
      </c>
      <c r="D40" s="191"/>
      <c r="E40" s="191"/>
      <c r="F40" s="193">
        <v>320.95000000000005</v>
      </c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</row>
    <row r="41" spans="2:18" ht="15" hidden="1">
      <c r="B41" s="129"/>
      <c r="C41" s="117" t="s">
        <v>54</v>
      </c>
      <c r="D41" s="117"/>
      <c r="E41" s="117"/>
      <c r="F41" s="118">
        <v>-15.2</v>
      </c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</row>
    <row r="42" spans="2:18" ht="15" hidden="1">
      <c r="B42" s="129"/>
      <c r="C42" s="117" t="s">
        <v>56</v>
      </c>
      <c r="D42" s="117"/>
      <c r="E42" s="117"/>
      <c r="F42" s="118">
        <v>-11.9</v>
      </c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</row>
    <row r="43" spans="2:18" ht="15" hidden="1">
      <c r="B43" s="119">
        <v>42186</v>
      </c>
      <c r="C43" s="117"/>
      <c r="D43" s="117"/>
      <c r="E43" s="117"/>
      <c r="F43" s="118">
        <v>-23.15</v>
      </c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</row>
    <row r="44" spans="2:18" ht="15" hidden="1">
      <c r="B44" s="119">
        <v>42217</v>
      </c>
      <c r="C44" s="117"/>
      <c r="D44" s="117"/>
      <c r="E44" s="117"/>
      <c r="F44" s="118">
        <v>-10.35</v>
      </c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</row>
    <row r="45" spans="2:18" ht="15" hidden="1">
      <c r="B45" s="119">
        <v>42248</v>
      </c>
      <c r="C45" s="117"/>
      <c r="D45" s="117"/>
      <c r="E45" s="117"/>
      <c r="F45" s="118">
        <v>-10.35</v>
      </c>
      <c r="G45" s="150"/>
      <c r="H45" s="150"/>
      <c r="I45" s="150"/>
      <c r="J45" s="150"/>
      <c r="K45" s="150"/>
      <c r="L45" s="150"/>
      <c r="M45" s="150"/>
      <c r="N45" s="150"/>
      <c r="O45" s="150"/>
      <c r="P45" s="150"/>
      <c r="Q45" s="150"/>
      <c r="R45" s="150"/>
    </row>
    <row r="46" spans="2:18" ht="15" hidden="1">
      <c r="B46" s="119">
        <v>42278</v>
      </c>
      <c r="C46" s="117"/>
      <c r="D46" s="117"/>
      <c r="E46" s="117"/>
      <c r="F46" s="118">
        <v>-10.35</v>
      </c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</row>
    <row r="47" spans="2:18" ht="15" hidden="1">
      <c r="B47" s="172" t="s">
        <v>57</v>
      </c>
      <c r="C47" s="117"/>
      <c r="D47" s="117"/>
      <c r="E47" s="117"/>
      <c r="F47" s="173">
        <v>-9.82</v>
      </c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</row>
    <row r="48" spans="2:18" ht="15" hidden="1">
      <c r="B48" s="172" t="s">
        <v>57</v>
      </c>
      <c r="C48" s="117"/>
      <c r="D48" s="117"/>
      <c r="E48" s="117"/>
      <c r="F48" s="173">
        <v>-0.67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</row>
    <row r="49" spans="2:18" ht="15" hidden="1">
      <c r="B49" s="172"/>
      <c r="C49" s="117"/>
      <c r="D49" s="117"/>
      <c r="E49" s="117"/>
      <c r="F49" s="173">
        <v>-10.21</v>
      </c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</row>
    <row r="50" spans="2:18" ht="15">
      <c r="B50" s="172"/>
      <c r="C50" s="117" t="s">
        <v>60</v>
      </c>
      <c r="D50" s="117"/>
      <c r="E50" s="117"/>
      <c r="F50" s="173">
        <v>218.9500000000001</v>
      </c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50"/>
    </row>
    <row r="51" spans="2:18" ht="15">
      <c r="B51" s="434" t="s">
        <v>81</v>
      </c>
      <c r="C51" s="175"/>
      <c r="D51" s="175"/>
      <c r="E51" s="175"/>
      <c r="F51" s="196"/>
      <c r="G51" s="150"/>
      <c r="H51" s="150"/>
      <c r="I51" s="150"/>
      <c r="J51" s="150"/>
      <c r="K51" s="150"/>
      <c r="L51" s="150"/>
      <c r="M51" s="150"/>
      <c r="N51" s="150"/>
      <c r="O51" s="150"/>
      <c r="P51" s="150"/>
      <c r="Q51" s="150"/>
      <c r="R51" s="150"/>
    </row>
    <row r="52" spans="2:18" ht="15">
      <c r="B52" s="434"/>
      <c r="C52" s="175" t="s">
        <v>59</v>
      </c>
      <c r="D52" s="175"/>
      <c r="E52" s="175"/>
      <c r="F52" s="196">
        <f>'fin overz 31 dec 2016'!J19</f>
        <v>7.78</v>
      </c>
      <c r="G52" s="150"/>
      <c r="H52" s="150"/>
      <c r="I52" s="150"/>
      <c r="J52" s="150"/>
      <c r="K52" s="150"/>
      <c r="L52" s="150"/>
      <c r="M52" s="150"/>
      <c r="N52" s="150"/>
      <c r="O52" s="150"/>
      <c r="P52" s="150"/>
      <c r="Q52" s="150"/>
      <c r="R52" s="150"/>
    </row>
    <row r="53" spans="2:18" ht="15">
      <c r="B53" s="156">
        <v>42376</v>
      </c>
      <c r="C53" s="234" t="s">
        <v>67</v>
      </c>
      <c r="D53" s="157"/>
      <c r="E53" s="157"/>
      <c r="F53" s="158">
        <v>-10.35</v>
      </c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</row>
    <row r="54" spans="2:18" ht="15">
      <c r="B54" s="156">
        <v>42403</v>
      </c>
      <c r="C54" s="157" t="s">
        <v>67</v>
      </c>
      <c r="D54" s="157"/>
      <c r="E54" s="157"/>
      <c r="F54" s="158">
        <v>-10.65</v>
      </c>
      <c r="G54" s="150"/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150"/>
    </row>
    <row r="55" spans="2:18" ht="15">
      <c r="B55" s="156">
        <v>42432</v>
      </c>
      <c r="C55" s="157" t="s">
        <v>67</v>
      </c>
      <c r="D55" s="157"/>
      <c r="E55" s="157"/>
      <c r="F55" s="158">
        <v>-10.65</v>
      </c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</row>
    <row r="56" spans="2:18" ht="15">
      <c r="B56" s="156"/>
      <c r="C56" s="234" t="s">
        <v>59</v>
      </c>
      <c r="D56" s="157"/>
      <c r="E56" s="157"/>
      <c r="F56" s="158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</row>
    <row r="57" spans="2:18" ht="15">
      <c r="B57" s="156">
        <v>42465</v>
      </c>
      <c r="C57" s="157" t="s">
        <v>67</v>
      </c>
      <c r="D57" s="157"/>
      <c r="E57" s="157"/>
      <c r="F57" s="158">
        <v>-10.65</v>
      </c>
      <c r="G57" s="150"/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</row>
    <row r="58" spans="2:18" ht="15">
      <c r="B58" s="156">
        <v>42494</v>
      </c>
      <c r="C58" s="157" t="s">
        <v>67</v>
      </c>
      <c r="D58" s="157"/>
      <c r="E58" s="157"/>
      <c r="F58" s="158">
        <v>-10.65</v>
      </c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</row>
    <row r="59" spans="2:18" ht="15">
      <c r="B59" s="156">
        <v>42524</v>
      </c>
      <c r="C59" s="157" t="s">
        <v>67</v>
      </c>
      <c r="D59" s="157"/>
      <c r="E59" s="157"/>
      <c r="F59" s="158">
        <v>-10.65</v>
      </c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</row>
    <row r="60" spans="2:18" ht="15">
      <c r="B60" s="156">
        <v>42556</v>
      </c>
      <c r="C60" s="157" t="s">
        <v>67</v>
      </c>
      <c r="D60" s="157"/>
      <c r="E60" s="157"/>
      <c r="F60" s="158">
        <v>-10.65</v>
      </c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</row>
    <row r="61" spans="2:18" ht="15">
      <c r="B61" s="156">
        <v>42585</v>
      </c>
      <c r="C61" s="157" t="s">
        <v>67</v>
      </c>
      <c r="D61" s="157"/>
      <c r="E61" s="157"/>
      <c r="F61" s="158">
        <v>-10.65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</row>
    <row r="62" spans="2:18" ht="15">
      <c r="B62" s="233">
        <v>42616</v>
      </c>
      <c r="C62" s="234" t="s">
        <v>67</v>
      </c>
      <c r="D62" s="157"/>
      <c r="E62" s="157"/>
      <c r="F62" s="158">
        <v>-10.65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</row>
    <row r="63" spans="2:18" ht="15">
      <c r="B63" s="233">
        <v>42648</v>
      </c>
      <c r="C63" s="234" t="s">
        <v>67</v>
      </c>
      <c r="D63" s="157"/>
      <c r="E63" s="157"/>
      <c r="F63" s="158">
        <v>-11.21</v>
      </c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</row>
    <row r="64" spans="2:18" ht="15">
      <c r="B64" s="233">
        <v>42678</v>
      </c>
      <c r="C64" s="234" t="s">
        <v>67</v>
      </c>
      <c r="D64" s="157"/>
      <c r="E64" s="157"/>
      <c r="F64" s="158">
        <v>-10.09</v>
      </c>
      <c r="G64" s="150"/>
      <c r="H64" s="150"/>
      <c r="I64" s="150"/>
      <c r="J64" s="150"/>
      <c r="K64" s="150"/>
      <c r="L64" s="150"/>
      <c r="M64" s="150"/>
      <c r="N64" s="150"/>
      <c r="O64" s="150"/>
      <c r="P64" s="150"/>
      <c r="Q64" s="150"/>
      <c r="R64" s="150"/>
    </row>
    <row r="65" spans="2:18" ht="15">
      <c r="B65" s="233">
        <v>42707</v>
      </c>
      <c r="C65" s="234" t="s">
        <v>67</v>
      </c>
      <c r="D65" s="157"/>
      <c r="E65" s="157"/>
      <c r="F65" s="158">
        <v>-10.65</v>
      </c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</row>
    <row r="66" spans="2:18" ht="15">
      <c r="B66" s="156"/>
      <c r="C66" s="234" t="s">
        <v>139</v>
      </c>
      <c r="D66" s="157"/>
      <c r="E66" s="157"/>
      <c r="F66" s="158">
        <f>SUM(F53:F65)</f>
        <v>-127.50000000000003</v>
      </c>
      <c r="G66" s="150"/>
      <c r="H66" s="235"/>
      <c r="I66" s="150"/>
      <c r="J66" s="150"/>
      <c r="K66" s="150"/>
      <c r="L66" s="150"/>
      <c r="M66" s="150"/>
      <c r="N66" s="150"/>
      <c r="O66" s="150"/>
      <c r="P66" s="150"/>
      <c r="Q66" s="150"/>
      <c r="R66" s="150"/>
    </row>
    <row r="67" spans="2:18" ht="15.75" thickBot="1">
      <c r="B67" s="435">
        <f>B35</f>
        <v>42735</v>
      </c>
      <c r="C67" s="288" t="str">
        <f>C35</f>
        <v>Saldo</v>
      </c>
      <c r="D67" s="95"/>
      <c r="E67" s="95"/>
      <c r="F67" s="239">
        <f>F50+F52+F66</f>
        <v>99.23000000000008</v>
      </c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</row>
    <row r="68" spans="2:18" ht="15" thickBot="1">
      <c r="B68" s="29"/>
      <c r="C68" s="29"/>
      <c r="D68" s="29"/>
      <c r="E68" s="29"/>
      <c r="F68" s="29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150"/>
    </row>
    <row r="69" spans="2:18" ht="15" customHeight="1">
      <c r="B69" s="432" t="s">
        <v>45</v>
      </c>
      <c r="C69" s="177"/>
      <c r="D69" s="177"/>
      <c r="E69" s="222" t="s">
        <v>113</v>
      </c>
      <c r="F69" s="179">
        <v>1000</v>
      </c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150"/>
    </row>
    <row r="70" spans="2:18" ht="15" hidden="1">
      <c r="B70" s="185"/>
      <c r="C70" s="186" t="s">
        <v>46</v>
      </c>
      <c r="D70" s="186"/>
      <c r="E70" s="186"/>
      <c r="F70" s="187">
        <v>1084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150"/>
    </row>
    <row r="71" spans="2:18" ht="15" hidden="1">
      <c r="B71" s="188"/>
      <c r="C71" s="186" t="s">
        <v>47</v>
      </c>
      <c r="D71" s="189"/>
      <c r="E71" s="189"/>
      <c r="F71" s="187">
        <v>0</v>
      </c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150"/>
    </row>
    <row r="72" spans="2:18" ht="15" hidden="1">
      <c r="B72" s="188"/>
      <c r="C72" s="186"/>
      <c r="D72" s="189"/>
      <c r="E72" s="189"/>
      <c r="F72" s="187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</row>
    <row r="73" spans="2:18" ht="15" hidden="1">
      <c r="B73" s="190">
        <v>42004</v>
      </c>
      <c r="C73" s="191" t="s">
        <v>2</v>
      </c>
      <c r="D73" s="192"/>
      <c r="E73" s="192"/>
      <c r="F73" s="193">
        <v>2084</v>
      </c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</row>
    <row r="74" spans="2:18" ht="15" hidden="1">
      <c r="B74" s="129">
        <v>2015</v>
      </c>
      <c r="C74" s="117" t="s">
        <v>62</v>
      </c>
      <c r="D74" s="117"/>
      <c r="E74" s="117"/>
      <c r="F74" s="118">
        <v>0</v>
      </c>
      <c r="G74" s="150"/>
      <c r="H74" s="150"/>
      <c r="I74" s="150"/>
      <c r="J74" s="150"/>
      <c r="K74" s="150"/>
      <c r="L74" s="150"/>
      <c r="M74" s="150"/>
      <c r="N74" s="150"/>
      <c r="O74" s="150"/>
      <c r="P74" s="150"/>
      <c r="Q74" s="150"/>
      <c r="R74" s="150"/>
    </row>
    <row r="75" spans="2:18" ht="15">
      <c r="B75" s="129"/>
      <c r="C75" s="117" t="s">
        <v>61</v>
      </c>
      <c r="D75" s="117"/>
      <c r="E75" s="117"/>
      <c r="F75" s="173">
        <v>2084</v>
      </c>
      <c r="G75" s="150"/>
      <c r="H75" s="150"/>
      <c r="I75" s="150"/>
      <c r="J75" s="150"/>
      <c r="K75" s="150"/>
      <c r="L75" s="150"/>
      <c r="M75" s="150"/>
      <c r="N75" s="150"/>
      <c r="O75" s="150"/>
      <c r="P75" s="150"/>
      <c r="Q75" s="150"/>
      <c r="R75" s="150"/>
    </row>
    <row r="76" spans="2:18" ht="15">
      <c r="B76" s="434" t="s">
        <v>81</v>
      </c>
      <c r="C76" s="194"/>
      <c r="D76" s="176"/>
      <c r="E76" s="176"/>
      <c r="F76" s="436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</row>
    <row r="77" spans="2:18" ht="15">
      <c r="B77" s="195"/>
      <c r="C77" s="194"/>
      <c r="D77" s="176"/>
      <c r="E77" s="176"/>
      <c r="F77" s="196">
        <v>0</v>
      </c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</row>
    <row r="78" spans="2:18" ht="15">
      <c r="B78" s="437">
        <f>B67</f>
        <v>42735</v>
      </c>
      <c r="C78" s="263" t="str">
        <f>C67</f>
        <v>Saldo</v>
      </c>
      <c r="D78" s="189"/>
      <c r="E78" s="189"/>
      <c r="F78" s="240">
        <f>F75+F77</f>
        <v>2084</v>
      </c>
      <c r="G78" s="224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</row>
    <row r="79" spans="2:18" ht="15.75" thickBot="1">
      <c r="B79" s="163"/>
      <c r="C79" s="164"/>
      <c r="D79" s="164"/>
      <c r="E79" s="164"/>
      <c r="F79" s="165"/>
      <c r="G79" s="150"/>
      <c r="H79" s="150"/>
      <c r="I79" s="150"/>
      <c r="J79" s="150"/>
      <c r="K79" s="150"/>
      <c r="L79" s="150"/>
      <c r="M79" s="150"/>
      <c r="N79" s="150"/>
      <c r="O79" s="150"/>
      <c r="P79" s="150"/>
      <c r="Q79" s="150"/>
      <c r="R79" s="150"/>
    </row>
    <row r="80" spans="2:18" ht="13.5" thickBot="1">
      <c r="B80" s="24"/>
      <c r="C80" s="24"/>
      <c r="D80" s="24"/>
      <c r="E80" s="24"/>
      <c r="F80" s="24"/>
      <c r="G80" s="150"/>
      <c r="H80" s="150"/>
      <c r="I80" s="150"/>
      <c r="J80" s="150"/>
      <c r="K80" s="150"/>
      <c r="L80" s="150"/>
      <c r="M80" s="150"/>
      <c r="N80" s="150"/>
      <c r="O80" s="150"/>
      <c r="P80" s="150"/>
      <c r="Q80" s="150"/>
      <c r="R80" s="150"/>
    </row>
    <row r="81" spans="2:18" ht="15">
      <c r="B81" s="255" t="s">
        <v>95</v>
      </c>
      <c r="C81" s="203"/>
      <c r="D81" s="178"/>
      <c r="E81" s="222" t="s">
        <v>114</v>
      </c>
      <c r="F81" s="197"/>
      <c r="G81" s="150"/>
      <c r="H81" s="150"/>
      <c r="I81" s="150"/>
      <c r="J81" s="150"/>
      <c r="K81" s="150"/>
      <c r="L81" s="150"/>
      <c r="M81" s="150"/>
      <c r="N81" s="150"/>
      <c r="O81" s="150"/>
      <c r="P81" s="150"/>
      <c r="Q81" s="150"/>
      <c r="R81" s="150"/>
    </row>
    <row r="82" spans="2:18" ht="15">
      <c r="B82" s="438"/>
      <c r="C82" s="131" t="s">
        <v>96</v>
      </c>
      <c r="D82" s="131"/>
      <c r="E82" s="131"/>
      <c r="F82" s="173"/>
      <c r="G82" s="150"/>
      <c r="H82" s="150"/>
      <c r="I82" s="150"/>
      <c r="J82" s="149"/>
      <c r="K82" s="149"/>
      <c r="L82" s="204"/>
      <c r="M82" s="150"/>
      <c r="N82" s="150"/>
      <c r="O82" s="150"/>
      <c r="P82" s="150"/>
      <c r="Q82" s="150"/>
      <c r="R82" s="150"/>
    </row>
    <row r="83" spans="2:18" ht="15">
      <c r="B83" s="438"/>
      <c r="C83" s="131" t="s">
        <v>60</v>
      </c>
      <c r="D83" s="131"/>
      <c r="E83" s="131"/>
      <c r="F83" s="173">
        <f>-933.27</f>
        <v>-933.27</v>
      </c>
      <c r="G83" s="150"/>
      <c r="H83" s="150"/>
      <c r="I83" s="150"/>
      <c r="J83" s="149"/>
      <c r="K83" s="149"/>
      <c r="L83" s="204"/>
      <c r="M83" s="150"/>
      <c r="N83" s="150"/>
      <c r="O83" s="150"/>
      <c r="P83" s="150"/>
      <c r="Q83" s="150"/>
      <c r="R83" s="150"/>
    </row>
    <row r="84" spans="2:18" ht="15">
      <c r="B84" s="434" t="s">
        <v>81</v>
      </c>
      <c r="C84" s="176"/>
      <c r="D84" s="176"/>
      <c r="E84" s="176"/>
      <c r="F84" s="198"/>
      <c r="G84" s="150"/>
      <c r="H84" s="224"/>
      <c r="I84" s="150"/>
      <c r="J84" s="150"/>
      <c r="K84" s="150"/>
      <c r="L84" s="235"/>
      <c r="M84" s="150"/>
      <c r="N84" s="150"/>
      <c r="O84" s="150"/>
      <c r="P84" s="150"/>
      <c r="Q84" s="150"/>
      <c r="R84" s="150"/>
    </row>
    <row r="85" spans="2:18" ht="15">
      <c r="B85" s="156">
        <v>42382</v>
      </c>
      <c r="C85" s="202" t="s">
        <v>97</v>
      </c>
      <c r="D85" s="202"/>
      <c r="E85" s="202"/>
      <c r="F85" s="196">
        <v>1250</v>
      </c>
      <c r="G85" s="150"/>
      <c r="H85" s="150"/>
      <c r="I85" s="150"/>
      <c r="J85" s="150"/>
      <c r="K85" s="150"/>
      <c r="L85" s="235"/>
      <c r="M85" s="150"/>
      <c r="N85" s="150"/>
      <c r="O85" s="150"/>
      <c r="P85" s="150"/>
      <c r="Q85" s="150"/>
      <c r="R85" s="150"/>
    </row>
    <row r="86" spans="2:18" ht="12.75">
      <c r="B86" s="195"/>
      <c r="C86" s="176"/>
      <c r="D86" s="176"/>
      <c r="E86" s="176"/>
      <c r="F86" s="198"/>
      <c r="G86" s="150"/>
      <c r="H86" s="150"/>
      <c r="I86" s="150"/>
      <c r="J86" s="150"/>
      <c r="K86" s="150"/>
      <c r="L86" s="235"/>
      <c r="M86" s="150"/>
      <c r="N86" s="150"/>
      <c r="O86" s="150"/>
      <c r="P86" s="150"/>
      <c r="Q86" s="150"/>
      <c r="R86" s="150"/>
    </row>
    <row r="87" spans="2:18" ht="15">
      <c r="B87" s="195"/>
      <c r="C87" s="201" t="s">
        <v>68</v>
      </c>
      <c r="D87" s="201"/>
      <c r="E87" s="201"/>
      <c r="F87" s="196">
        <f>F83+F85</f>
        <v>316.73</v>
      </c>
      <c r="G87" s="150"/>
      <c r="H87" s="150"/>
      <c r="I87" s="150"/>
      <c r="J87" s="150"/>
      <c r="K87" s="150"/>
      <c r="L87" s="235"/>
      <c r="M87" s="150"/>
      <c r="N87" s="150"/>
      <c r="O87" s="150"/>
      <c r="P87" s="150"/>
      <c r="Q87" s="150"/>
      <c r="R87" s="150"/>
    </row>
    <row r="88" spans="2:18" ht="12.75">
      <c r="B88" s="195"/>
      <c r="C88" s="176"/>
      <c r="D88" s="176"/>
      <c r="E88" s="176"/>
      <c r="F88" s="198"/>
      <c r="G88" s="150"/>
      <c r="H88" s="150"/>
      <c r="I88" s="150"/>
      <c r="J88" s="150"/>
      <c r="K88" s="150"/>
      <c r="L88" s="235"/>
      <c r="M88" s="150"/>
      <c r="N88" s="150"/>
      <c r="O88" s="150"/>
      <c r="P88" s="150"/>
      <c r="Q88" s="150"/>
      <c r="R88" s="150"/>
    </row>
    <row r="89" spans="2:18" ht="12.75">
      <c r="B89" s="232">
        <v>42522</v>
      </c>
      <c r="C89" s="194" t="s">
        <v>124</v>
      </c>
      <c r="D89" s="176"/>
      <c r="E89" s="176"/>
      <c r="F89" s="198">
        <v>-216.59</v>
      </c>
      <c r="G89" s="150"/>
      <c r="H89" s="150"/>
      <c r="I89" s="150"/>
      <c r="J89" s="150"/>
      <c r="K89" s="150"/>
      <c r="L89" s="235"/>
      <c r="M89" s="150"/>
      <c r="N89" s="150"/>
      <c r="O89" s="150"/>
      <c r="P89" s="150"/>
      <c r="Q89" s="150"/>
      <c r="R89" s="150"/>
    </row>
    <row r="90" spans="2:18" ht="12.75">
      <c r="B90" s="195"/>
      <c r="C90" s="176"/>
      <c r="D90" s="176"/>
      <c r="E90" s="176"/>
      <c r="F90" s="198"/>
      <c r="G90" s="150"/>
      <c r="H90" s="150"/>
      <c r="I90" s="150"/>
      <c r="J90" s="150"/>
      <c r="K90" s="150"/>
      <c r="L90" s="235"/>
      <c r="M90" s="150"/>
      <c r="N90" s="150"/>
      <c r="O90" s="150"/>
      <c r="P90" s="150"/>
      <c r="Q90" s="150"/>
      <c r="R90" s="150"/>
    </row>
    <row r="91" spans="2:18" ht="15.75" customHeight="1">
      <c r="B91" s="406">
        <f>B78</f>
        <v>42735</v>
      </c>
      <c r="C91" s="241" t="s">
        <v>2</v>
      </c>
      <c r="D91" s="241"/>
      <c r="E91" s="241"/>
      <c r="F91" s="240">
        <f>SUM(F87:F89)</f>
        <v>100.14000000000001</v>
      </c>
      <c r="G91" s="150"/>
      <c r="H91" s="150"/>
      <c r="I91" s="150"/>
      <c r="J91" s="150"/>
      <c r="K91" s="150"/>
      <c r="L91" s="235"/>
      <c r="M91" s="150"/>
      <c r="N91" s="150"/>
      <c r="O91" s="150"/>
      <c r="P91" s="150"/>
      <c r="Q91" s="150"/>
      <c r="R91" s="150"/>
    </row>
    <row r="92" spans="2:18" ht="13.5" thickBot="1">
      <c r="B92" s="163"/>
      <c r="C92" s="183"/>
      <c r="D92" s="183"/>
      <c r="E92" s="183"/>
      <c r="F92" s="199"/>
      <c r="G92" s="150"/>
      <c r="H92" s="150"/>
      <c r="I92" s="150"/>
      <c r="J92" s="150"/>
      <c r="K92" s="150"/>
      <c r="L92" s="235"/>
      <c r="M92" s="150"/>
      <c r="N92" s="150"/>
      <c r="O92" s="150"/>
      <c r="P92" s="150"/>
      <c r="Q92" s="150"/>
      <c r="R92" s="150"/>
    </row>
    <row r="93" spans="2:18" ht="13.5" thickBot="1">
      <c r="B93" s="24"/>
      <c r="C93" s="24"/>
      <c r="D93" s="24"/>
      <c r="E93" s="24"/>
      <c r="F93" s="24"/>
      <c r="G93" s="150"/>
      <c r="H93" s="150"/>
      <c r="I93" s="150"/>
      <c r="J93" s="150"/>
      <c r="K93" s="150"/>
      <c r="L93" s="235"/>
      <c r="M93" s="205"/>
      <c r="N93" s="150"/>
      <c r="O93" s="150"/>
      <c r="P93" s="150"/>
      <c r="Q93" s="150"/>
      <c r="R93" s="150"/>
    </row>
    <row r="94" spans="2:18" ht="12.75">
      <c r="B94" s="416" t="s">
        <v>131</v>
      </c>
      <c r="C94" s="417"/>
      <c r="D94" s="417"/>
      <c r="E94" s="417"/>
      <c r="F94" s="418"/>
      <c r="G94" s="150"/>
      <c r="H94" s="150"/>
      <c r="I94" s="150"/>
      <c r="J94" s="150"/>
      <c r="K94" s="150"/>
      <c r="L94" s="235"/>
      <c r="M94" s="205"/>
      <c r="N94" s="150"/>
      <c r="O94" s="150"/>
      <c r="P94" s="150"/>
      <c r="Q94" s="150"/>
      <c r="R94" s="150"/>
    </row>
    <row r="95" spans="2:18" ht="15">
      <c r="B95" s="439" t="s">
        <v>83</v>
      </c>
      <c r="C95" s="419"/>
      <c r="D95" s="176"/>
      <c r="E95" s="420" t="s">
        <v>115</v>
      </c>
      <c r="F95" s="198"/>
      <c r="G95" s="150"/>
      <c r="H95" s="150"/>
      <c r="I95" s="224"/>
      <c r="J95" s="220"/>
      <c r="K95" s="224"/>
      <c r="L95" s="235"/>
      <c r="M95" s="150"/>
      <c r="N95" s="150"/>
      <c r="O95" s="150"/>
      <c r="P95" s="150"/>
      <c r="Q95" s="150"/>
      <c r="R95" s="150"/>
    </row>
    <row r="96" spans="2:18" ht="15" hidden="1">
      <c r="B96" s="406">
        <v>42004</v>
      </c>
      <c r="C96" s="421" t="s">
        <v>84</v>
      </c>
      <c r="D96" s="421"/>
      <c r="E96" s="421"/>
      <c r="F96" s="193">
        <v>0</v>
      </c>
      <c r="G96" s="150"/>
      <c r="H96" s="150"/>
      <c r="I96" s="224"/>
      <c r="J96" s="220"/>
      <c r="K96" s="224"/>
      <c r="L96" s="235"/>
      <c r="M96" s="150"/>
      <c r="N96" s="150"/>
      <c r="O96" s="150"/>
      <c r="P96" s="150"/>
      <c r="Q96" s="150"/>
      <c r="R96" s="150"/>
    </row>
    <row r="97" spans="2:18" ht="15">
      <c r="B97" s="440">
        <v>42343</v>
      </c>
      <c r="C97" s="131" t="s">
        <v>85</v>
      </c>
      <c r="D97" s="131" t="s">
        <v>86</v>
      </c>
      <c r="E97" s="131"/>
      <c r="F97" s="173">
        <v>5000</v>
      </c>
      <c r="G97" s="150"/>
      <c r="H97" s="150"/>
      <c r="I97" s="224"/>
      <c r="J97" s="220"/>
      <c r="K97" s="224"/>
      <c r="L97" s="235"/>
      <c r="M97" s="150"/>
      <c r="N97" s="150"/>
      <c r="O97" s="150"/>
      <c r="P97" s="150"/>
      <c r="Q97" s="150"/>
      <c r="R97" s="150"/>
    </row>
    <row r="98" spans="2:18" ht="15">
      <c r="B98" s="438"/>
      <c r="C98" s="131" t="s">
        <v>61</v>
      </c>
      <c r="D98" s="131"/>
      <c r="E98" s="131"/>
      <c r="F98" s="173">
        <f>F97</f>
        <v>5000</v>
      </c>
      <c r="G98" s="150"/>
      <c r="H98" s="150"/>
      <c r="I98" s="224"/>
      <c r="J98" s="220"/>
      <c r="K98" s="224"/>
      <c r="L98" s="235"/>
      <c r="M98" s="150"/>
      <c r="N98" s="150"/>
      <c r="O98" s="150"/>
      <c r="P98" s="150"/>
      <c r="Q98" s="150"/>
      <c r="R98" s="150"/>
    </row>
    <row r="99" spans="2:18" ht="15">
      <c r="B99" s="434" t="s">
        <v>81</v>
      </c>
      <c r="C99" s="176"/>
      <c r="D99" s="176"/>
      <c r="E99" s="176"/>
      <c r="F99" s="198"/>
      <c r="G99" s="150"/>
      <c r="H99" s="150"/>
      <c r="I99" s="224"/>
      <c r="J99" s="220"/>
      <c r="K99" s="150"/>
      <c r="L99" s="235"/>
      <c r="M99" s="150"/>
      <c r="N99" s="150"/>
      <c r="O99" s="150"/>
      <c r="P99" s="150"/>
      <c r="Q99" s="150"/>
      <c r="R99" s="150"/>
    </row>
    <row r="100" spans="2:18" ht="15">
      <c r="B100" s="156">
        <v>42424</v>
      </c>
      <c r="C100" s="202" t="s">
        <v>90</v>
      </c>
      <c r="D100" s="200"/>
      <c r="E100" s="200"/>
      <c r="F100" s="196">
        <v>10000</v>
      </c>
      <c r="G100" s="150"/>
      <c r="H100" s="150"/>
      <c r="I100" s="150"/>
      <c r="J100" s="150"/>
      <c r="K100" s="150"/>
      <c r="L100" s="235"/>
      <c r="M100" s="150"/>
      <c r="N100" s="150"/>
      <c r="O100" s="150"/>
      <c r="P100" s="150"/>
      <c r="Q100" s="150"/>
      <c r="R100" s="150"/>
    </row>
    <row r="101" spans="2:18" ht="15">
      <c r="B101" s="156">
        <v>42424</v>
      </c>
      <c r="C101" s="200" t="s">
        <v>87</v>
      </c>
      <c r="D101" s="200"/>
      <c r="E101" s="201"/>
      <c r="F101" s="196">
        <v>5000</v>
      </c>
      <c r="G101" s="150"/>
      <c r="H101" s="150"/>
      <c r="I101" s="150"/>
      <c r="J101" s="150"/>
      <c r="K101" s="150"/>
      <c r="L101" s="150"/>
      <c r="M101" s="150"/>
      <c r="N101" s="150"/>
      <c r="O101" s="150"/>
      <c r="P101" s="150"/>
      <c r="Q101" s="150"/>
      <c r="R101" s="150"/>
    </row>
    <row r="102" spans="2:18" ht="15">
      <c r="B102" s="156">
        <v>42523</v>
      </c>
      <c r="C102" s="202" t="s">
        <v>120</v>
      </c>
      <c r="D102" s="202"/>
      <c r="E102" s="201"/>
      <c r="F102" s="231">
        <v>2500</v>
      </c>
      <c r="G102" s="150"/>
      <c r="H102" s="150"/>
      <c r="I102" s="150"/>
      <c r="J102" s="150"/>
      <c r="K102" s="150"/>
      <c r="L102" s="150"/>
      <c r="M102" s="150"/>
      <c r="N102" s="150"/>
      <c r="O102" s="150"/>
      <c r="P102" s="150"/>
      <c r="Q102" s="150"/>
      <c r="R102" s="150"/>
    </row>
    <row r="103" spans="2:18" ht="15">
      <c r="B103" s="156">
        <v>42536</v>
      </c>
      <c r="C103" s="202" t="s">
        <v>123</v>
      </c>
      <c r="D103" s="202"/>
      <c r="E103" s="201"/>
      <c r="F103" s="231">
        <v>1500</v>
      </c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</row>
    <row r="104" spans="2:18" ht="15">
      <c r="B104" s="233" t="s">
        <v>147</v>
      </c>
      <c r="C104" s="202" t="s">
        <v>146</v>
      </c>
      <c r="D104" s="202"/>
      <c r="E104" s="202"/>
      <c r="F104" s="231">
        <v>950</v>
      </c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</row>
    <row r="105" spans="2:18" ht="15">
      <c r="B105" s="156"/>
      <c r="C105" s="262" t="s">
        <v>151</v>
      </c>
      <c r="D105" s="262"/>
      <c r="E105" s="262"/>
      <c r="F105" s="173">
        <f>SUM(F100:F104)</f>
        <v>19950</v>
      </c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</row>
    <row r="106" spans="2:18" ht="15">
      <c r="B106" s="156"/>
      <c r="C106" s="201"/>
      <c r="D106" s="201"/>
      <c r="E106" s="201"/>
      <c r="F106" s="196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</row>
    <row r="107" spans="2:18" ht="15">
      <c r="B107" s="156">
        <v>42515</v>
      </c>
      <c r="C107" s="201" t="s">
        <v>128</v>
      </c>
      <c r="D107" s="201"/>
      <c r="E107" s="201"/>
      <c r="F107" s="196">
        <f>-907.5</f>
        <v>-907.5</v>
      </c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</row>
    <row r="108" spans="2:18" ht="15">
      <c r="B108" s="156">
        <v>42612</v>
      </c>
      <c r="C108" s="201" t="s">
        <v>127</v>
      </c>
      <c r="D108" s="201"/>
      <c r="E108" s="201"/>
      <c r="F108" s="196">
        <f>-5248.38</f>
        <v>-5248.38</v>
      </c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</row>
    <row r="109" spans="2:18" ht="15">
      <c r="B109" s="156"/>
      <c r="C109" s="201"/>
      <c r="D109" s="201"/>
      <c r="E109" s="201"/>
      <c r="F109" s="196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</row>
    <row r="110" spans="2:18" ht="15">
      <c r="B110" s="156">
        <v>42612</v>
      </c>
      <c r="C110" s="201" t="s">
        <v>135</v>
      </c>
      <c r="D110" s="201"/>
      <c r="E110" s="201"/>
      <c r="F110" s="196">
        <f>-201.95</f>
        <v>-201.95</v>
      </c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</row>
    <row r="111" spans="2:18" ht="15">
      <c r="B111" s="156">
        <v>42615</v>
      </c>
      <c r="C111" s="201" t="s">
        <v>136</v>
      </c>
      <c r="D111" s="201"/>
      <c r="E111" s="201"/>
      <c r="F111" s="196">
        <f>-9709.6</f>
        <v>-9709.6</v>
      </c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</row>
    <row r="112" spans="2:18" ht="15">
      <c r="B112" s="156">
        <v>42621</v>
      </c>
      <c r="C112" s="201" t="s">
        <v>138</v>
      </c>
      <c r="D112" s="201"/>
      <c r="E112" s="201"/>
      <c r="F112" s="196">
        <v>-96.61</v>
      </c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</row>
    <row r="113" spans="2:18" ht="15">
      <c r="B113" s="233">
        <v>42648</v>
      </c>
      <c r="C113" s="201" t="s">
        <v>137</v>
      </c>
      <c r="D113" s="201"/>
      <c r="E113" s="201"/>
      <c r="F113" s="196">
        <v>-393.45</v>
      </c>
      <c r="G113" s="150"/>
      <c r="H113" s="235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</row>
    <row r="114" spans="2:18" ht="15">
      <c r="B114" s="233">
        <v>42697</v>
      </c>
      <c r="C114" s="201" t="s">
        <v>136</v>
      </c>
      <c r="D114" s="201"/>
      <c r="E114" s="201"/>
      <c r="F114" s="196">
        <v>-54.45</v>
      </c>
      <c r="G114" s="150"/>
      <c r="H114" s="235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</row>
    <row r="115" spans="2:18" ht="15">
      <c r="B115" s="233">
        <v>42704</v>
      </c>
      <c r="C115" s="201" t="s">
        <v>143</v>
      </c>
      <c r="D115" s="201"/>
      <c r="E115" s="201"/>
      <c r="F115" s="196">
        <v>-299.48</v>
      </c>
      <c r="G115" s="150"/>
      <c r="H115" s="235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</row>
    <row r="116" spans="2:18" ht="15">
      <c r="B116" s="233">
        <v>42716</v>
      </c>
      <c r="C116" s="201" t="s">
        <v>155</v>
      </c>
      <c r="D116" s="201"/>
      <c r="E116" s="201"/>
      <c r="F116" s="196">
        <f>-225</f>
        <v>-225</v>
      </c>
      <c r="G116" s="150"/>
      <c r="H116" s="235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</row>
    <row r="117" spans="2:18" ht="17.25" customHeight="1">
      <c r="B117" s="233">
        <v>42724</v>
      </c>
      <c r="C117" s="202" t="s">
        <v>156</v>
      </c>
      <c r="D117" s="202"/>
      <c r="E117" s="202"/>
      <c r="F117" s="196">
        <v>-105.27</v>
      </c>
      <c r="G117" s="150"/>
      <c r="H117" s="235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</row>
    <row r="118" spans="2:18" ht="9" customHeight="1">
      <c r="B118" s="233"/>
      <c r="C118" s="262"/>
      <c r="D118" s="262"/>
      <c r="E118" s="262"/>
      <c r="F118" s="173"/>
      <c r="G118" s="150"/>
      <c r="H118" s="235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</row>
    <row r="119" spans="2:18" ht="15">
      <c r="B119" s="233"/>
      <c r="C119" s="262" t="s">
        <v>157</v>
      </c>
      <c r="D119" s="262"/>
      <c r="E119" s="262"/>
      <c r="F119" s="173">
        <f>SUM(F107:F117)</f>
        <v>-17241.690000000002</v>
      </c>
      <c r="G119" s="150"/>
      <c r="H119" s="235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</row>
    <row r="120" spans="2:18" ht="15">
      <c r="B120" s="233">
        <v>42731</v>
      </c>
      <c r="C120" s="262" t="s">
        <v>164</v>
      </c>
      <c r="D120" s="262"/>
      <c r="E120" s="262"/>
      <c r="F120" s="173">
        <v>40</v>
      </c>
      <c r="G120" s="150"/>
      <c r="H120" s="235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</row>
    <row r="121" spans="2:18" ht="15">
      <c r="B121" s="233">
        <v>42731</v>
      </c>
      <c r="C121" s="262" t="s">
        <v>164</v>
      </c>
      <c r="D121" s="262"/>
      <c r="E121" s="262"/>
      <c r="F121" s="173">
        <v>405</v>
      </c>
      <c r="G121" s="150"/>
      <c r="H121" s="235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</row>
    <row r="122" spans="2:18" ht="21.75" customHeight="1">
      <c r="B122" s="406">
        <f>B91</f>
        <v>42735</v>
      </c>
      <c r="C122" s="241" t="str">
        <f>C91</f>
        <v>Saldo</v>
      </c>
      <c r="D122" s="241"/>
      <c r="E122" s="241"/>
      <c r="F122" s="240">
        <f>F98+F105+F119+F120+F121</f>
        <v>8153.309999999998</v>
      </c>
      <c r="G122" s="150"/>
      <c r="H122" s="235"/>
      <c r="I122" s="235"/>
      <c r="J122" s="150"/>
      <c r="K122" s="150"/>
      <c r="L122" s="150"/>
      <c r="M122" s="150"/>
      <c r="N122" s="150"/>
      <c r="O122" s="150"/>
      <c r="P122" s="150"/>
      <c r="Q122" s="150"/>
      <c r="R122" s="150"/>
    </row>
    <row r="123" spans="2:18" ht="21.75" customHeight="1" thickBot="1">
      <c r="B123" s="441"/>
      <c r="C123" s="442"/>
      <c r="D123" s="442"/>
      <c r="E123" s="442"/>
      <c r="F123" s="165"/>
      <c r="G123" s="150"/>
      <c r="H123" s="235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</row>
    <row r="124" spans="2:18" s="121" customFormat="1" ht="9.75" customHeight="1" thickBot="1">
      <c r="B124" s="228"/>
      <c r="C124" s="230"/>
      <c r="D124" s="230"/>
      <c r="E124" s="230"/>
      <c r="F124" s="227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</row>
    <row r="125" spans="2:18" ht="12.75" hidden="1">
      <c r="B125" s="24"/>
      <c r="C125" s="24"/>
      <c r="D125" s="24"/>
      <c r="E125" s="24"/>
      <c r="F125" s="24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</row>
    <row r="126" spans="2:18" ht="15">
      <c r="B126" s="255" t="s">
        <v>88</v>
      </c>
      <c r="C126" s="203"/>
      <c r="D126" s="203"/>
      <c r="E126" s="443" t="s">
        <v>116</v>
      </c>
      <c r="F126" s="444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</row>
    <row r="127" spans="2:18" ht="15">
      <c r="B127" s="438"/>
      <c r="C127" s="131" t="s">
        <v>60</v>
      </c>
      <c r="D127" s="131"/>
      <c r="E127" s="131"/>
      <c r="F127" s="173">
        <v>0</v>
      </c>
      <c r="G127" s="150"/>
      <c r="H127" s="150"/>
      <c r="I127" s="235"/>
      <c r="J127" s="150"/>
      <c r="K127" s="150"/>
      <c r="L127" s="150"/>
      <c r="M127" s="150"/>
      <c r="N127" s="150"/>
      <c r="O127" s="150"/>
      <c r="P127" s="150"/>
      <c r="Q127" s="150"/>
      <c r="R127" s="150"/>
    </row>
    <row r="128" spans="2:18" ht="15">
      <c r="B128" s="434" t="s">
        <v>81</v>
      </c>
      <c r="C128" s="424"/>
      <c r="D128" s="176"/>
      <c r="E128" s="176"/>
      <c r="F128" s="198"/>
      <c r="G128" s="150"/>
      <c r="H128" s="150"/>
      <c r="I128" s="150"/>
      <c r="J128" s="150"/>
      <c r="K128" s="150"/>
      <c r="L128" s="150"/>
      <c r="M128" s="150"/>
      <c r="N128" s="150"/>
      <c r="O128" s="150"/>
      <c r="P128" s="150"/>
      <c r="Q128" s="150"/>
      <c r="R128" s="150"/>
    </row>
    <row r="129" spans="2:18" ht="15">
      <c r="B129" s="156">
        <v>42466</v>
      </c>
      <c r="C129" s="202" t="s">
        <v>89</v>
      </c>
      <c r="D129" s="202"/>
      <c r="E129" s="202"/>
      <c r="F129" s="196">
        <v>1500</v>
      </c>
      <c r="G129" s="150"/>
      <c r="H129" s="150"/>
      <c r="I129" s="150"/>
      <c r="J129" s="150"/>
      <c r="K129" s="150"/>
      <c r="L129" s="150"/>
      <c r="M129" s="150"/>
      <c r="N129" s="150"/>
      <c r="O129" s="150"/>
      <c r="P129" s="150"/>
      <c r="Q129" s="150"/>
      <c r="R129" s="150"/>
    </row>
    <row r="130" spans="2:18" ht="15">
      <c r="B130" s="195"/>
      <c r="C130" s="202"/>
      <c r="D130" s="202"/>
      <c r="E130" s="202"/>
      <c r="F130" s="196"/>
      <c r="G130" s="150"/>
      <c r="H130" s="150"/>
      <c r="I130" s="150"/>
      <c r="J130" s="150"/>
      <c r="K130" s="150"/>
      <c r="L130" s="150"/>
      <c r="M130" s="150"/>
      <c r="N130" s="150"/>
      <c r="O130" s="150"/>
      <c r="P130" s="150"/>
      <c r="Q130" s="150"/>
      <c r="R130" s="150"/>
    </row>
    <row r="131" spans="2:18" ht="15">
      <c r="B131" s="195"/>
      <c r="C131" s="241" t="s">
        <v>152</v>
      </c>
      <c r="D131" s="241"/>
      <c r="E131" s="241"/>
      <c r="F131" s="240">
        <f>F127+F129</f>
        <v>1500</v>
      </c>
      <c r="G131" s="224"/>
      <c r="H131" s="150"/>
      <c r="I131" s="150"/>
      <c r="J131" s="150"/>
      <c r="K131" s="150"/>
      <c r="L131" s="150"/>
      <c r="M131" s="150"/>
      <c r="N131" s="150"/>
      <c r="O131" s="150"/>
      <c r="P131" s="150"/>
      <c r="Q131" s="150"/>
      <c r="R131" s="150"/>
    </row>
    <row r="132" spans="2:18" ht="15">
      <c r="B132" s="232">
        <v>42710</v>
      </c>
      <c r="C132" s="262" t="s">
        <v>153</v>
      </c>
      <c r="D132" s="262"/>
      <c r="E132" s="262"/>
      <c r="F132" s="173">
        <f>-1500</f>
        <v>-1500</v>
      </c>
      <c r="G132" s="224"/>
      <c r="H132" s="150"/>
      <c r="I132" s="150"/>
      <c r="J132" s="150"/>
      <c r="K132" s="150"/>
      <c r="L132" s="150"/>
      <c r="M132" s="150"/>
      <c r="N132" s="150"/>
      <c r="O132" s="150"/>
      <c r="P132" s="150"/>
      <c r="Q132" s="150"/>
      <c r="R132" s="150"/>
    </row>
    <row r="133" spans="2:18" ht="15.75" thickBot="1">
      <c r="B133" s="445">
        <f>B122</f>
        <v>42735</v>
      </c>
      <c r="C133" s="446" t="str">
        <f>C122</f>
        <v>Saldo</v>
      </c>
      <c r="D133" s="446"/>
      <c r="E133" s="446"/>
      <c r="F133" s="239">
        <f>F131+F132</f>
        <v>0</v>
      </c>
      <c r="G133" s="150"/>
      <c r="H133" s="150"/>
      <c r="I133" s="150"/>
      <c r="J133" s="150"/>
      <c r="K133" s="150"/>
      <c r="L133" s="150"/>
      <c r="M133" s="150"/>
      <c r="N133" s="150"/>
      <c r="O133" s="150"/>
      <c r="P133" s="150"/>
      <c r="Q133" s="150"/>
      <c r="R133" s="150"/>
    </row>
    <row r="134" spans="2:18" ht="12.75">
      <c r="B134" s="24"/>
      <c r="C134" s="24"/>
      <c r="D134" s="24"/>
      <c r="E134" s="24"/>
      <c r="F134" s="24"/>
      <c r="G134" s="150"/>
      <c r="H134" s="150"/>
      <c r="I134" s="150"/>
      <c r="J134" s="150"/>
      <c r="K134" s="150"/>
      <c r="L134" s="150"/>
      <c r="M134" s="150"/>
      <c r="N134" s="150"/>
      <c r="O134" s="150"/>
      <c r="P134" s="150"/>
      <c r="Q134" s="150"/>
      <c r="R134" s="150"/>
    </row>
    <row r="135" spans="2:18" ht="0.75" customHeight="1" thickBot="1">
      <c r="B135" s="24"/>
      <c r="C135" s="24"/>
      <c r="D135" s="24"/>
      <c r="E135" s="24"/>
      <c r="F135" s="24"/>
      <c r="G135" s="150"/>
      <c r="H135" s="150"/>
      <c r="I135" s="150"/>
      <c r="J135" s="150"/>
      <c r="K135" s="150"/>
      <c r="L135" s="150"/>
      <c r="M135" s="150"/>
      <c r="N135" s="150"/>
      <c r="O135" s="150"/>
      <c r="P135" s="150"/>
      <c r="Q135" s="150"/>
      <c r="R135" s="150"/>
    </row>
    <row r="136" spans="2:18" ht="15">
      <c r="B136" s="255" t="s">
        <v>93</v>
      </c>
      <c r="C136" s="203"/>
      <c r="D136" s="203"/>
      <c r="E136" s="443" t="s">
        <v>117</v>
      </c>
      <c r="F136" s="444"/>
      <c r="G136" s="150"/>
      <c r="H136" s="150"/>
      <c r="I136" s="150"/>
      <c r="J136" s="150"/>
      <c r="K136" s="150"/>
      <c r="L136" s="150"/>
      <c r="M136" s="150"/>
      <c r="N136" s="150"/>
      <c r="O136" s="150"/>
      <c r="P136" s="150"/>
      <c r="Q136" s="150"/>
      <c r="R136" s="150"/>
    </row>
    <row r="137" spans="2:18" ht="15">
      <c r="B137" s="438"/>
      <c r="C137" s="131" t="s">
        <v>60</v>
      </c>
      <c r="D137" s="131"/>
      <c r="E137" s="131"/>
      <c r="F137" s="173">
        <v>0</v>
      </c>
      <c r="G137" s="150"/>
      <c r="H137" s="150"/>
      <c r="I137" s="150"/>
      <c r="J137" s="150"/>
      <c r="K137" s="150"/>
      <c r="L137" s="150"/>
      <c r="M137" s="150"/>
      <c r="N137" s="150"/>
      <c r="O137" s="150"/>
      <c r="P137" s="150"/>
      <c r="Q137" s="150"/>
      <c r="R137" s="150"/>
    </row>
    <row r="138" spans="2:18" ht="15">
      <c r="B138" s="434" t="s">
        <v>81</v>
      </c>
      <c r="C138" s="424"/>
      <c r="D138" s="176"/>
      <c r="E138" s="176"/>
      <c r="F138" s="198"/>
      <c r="G138" s="150"/>
      <c r="H138" s="150"/>
      <c r="I138" s="150"/>
      <c r="J138" s="150"/>
      <c r="K138" s="150"/>
      <c r="L138" s="150"/>
      <c r="M138" s="150"/>
      <c r="N138" s="150"/>
      <c r="O138" s="150"/>
      <c r="P138" s="150"/>
      <c r="Q138" s="150"/>
      <c r="R138" s="150"/>
    </row>
    <row r="139" spans="2:18" ht="15">
      <c r="B139" s="156">
        <v>42426</v>
      </c>
      <c r="C139" s="202" t="s">
        <v>94</v>
      </c>
      <c r="D139" s="202"/>
      <c r="E139" s="202"/>
      <c r="F139" s="196">
        <v>200</v>
      </c>
      <c r="G139" s="150"/>
      <c r="H139" s="150"/>
      <c r="I139" s="150"/>
      <c r="J139" s="150"/>
      <c r="K139" s="150"/>
      <c r="L139" s="150"/>
      <c r="M139" s="150"/>
      <c r="N139" s="150"/>
      <c r="O139" s="150"/>
      <c r="P139" s="150"/>
      <c r="Q139" s="150"/>
      <c r="R139" s="150"/>
    </row>
    <row r="140" spans="2:18" ht="15">
      <c r="B140" s="195"/>
      <c r="C140" s="202" t="s">
        <v>220</v>
      </c>
      <c r="D140" s="202"/>
      <c r="E140" s="202"/>
      <c r="F140" s="196">
        <f>'fin overz 31 dec 2016'!I24</f>
        <v>-151.34</v>
      </c>
      <c r="G140" s="150"/>
      <c r="H140" s="150"/>
      <c r="I140" s="150"/>
      <c r="J140" s="150"/>
      <c r="K140" s="150"/>
      <c r="L140" s="150"/>
      <c r="M140" s="150"/>
      <c r="N140" s="150"/>
      <c r="O140" s="150"/>
      <c r="P140" s="150"/>
      <c r="Q140" s="150"/>
      <c r="R140" s="150"/>
    </row>
    <row r="141" spans="2:18" ht="15">
      <c r="B141" s="406">
        <f>B133</f>
        <v>42735</v>
      </c>
      <c r="C141" s="241" t="str">
        <f>C133</f>
        <v>Saldo</v>
      </c>
      <c r="D141" s="241"/>
      <c r="E141" s="241"/>
      <c r="F141" s="240">
        <f>SUM(F139:F140)</f>
        <v>48.66</v>
      </c>
      <c r="G141" s="224"/>
      <c r="H141" s="150"/>
      <c r="I141" s="150"/>
      <c r="J141" s="150"/>
      <c r="K141" s="150"/>
      <c r="L141" s="150"/>
      <c r="M141" s="150"/>
      <c r="N141" s="150"/>
      <c r="O141" s="150"/>
      <c r="P141" s="150"/>
      <c r="Q141" s="150"/>
      <c r="R141" s="150"/>
    </row>
    <row r="142" spans="2:18" ht="15" customHeight="1" thickBot="1">
      <c r="B142" s="163"/>
      <c r="C142" s="183"/>
      <c r="D142" s="183"/>
      <c r="E142" s="183"/>
      <c r="F142" s="199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</row>
    <row r="143" spans="2:18" ht="18" customHeight="1" thickBot="1">
      <c r="B143" s="24"/>
      <c r="C143" s="24"/>
      <c r="D143" s="24"/>
      <c r="E143" s="24"/>
      <c r="F143" s="24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</row>
    <row r="144" spans="2:18" ht="15">
      <c r="B144" s="255" t="s">
        <v>91</v>
      </c>
      <c r="C144" s="203"/>
      <c r="D144" s="203"/>
      <c r="E144" s="443" t="s">
        <v>118</v>
      </c>
      <c r="F144" s="444"/>
      <c r="G144" s="150"/>
      <c r="H144" s="150"/>
      <c r="I144" s="150"/>
      <c r="J144" s="150"/>
      <c r="K144" s="150"/>
      <c r="L144" s="150"/>
      <c r="M144" s="150"/>
      <c r="N144" s="150"/>
      <c r="O144" s="150"/>
      <c r="P144" s="150"/>
      <c r="Q144" s="150"/>
      <c r="R144" s="150"/>
    </row>
    <row r="145" spans="2:18" ht="15">
      <c r="B145" s="438"/>
      <c r="C145" s="131" t="s">
        <v>60</v>
      </c>
      <c r="D145" s="131"/>
      <c r="E145" s="131"/>
      <c r="F145" s="173">
        <v>0</v>
      </c>
      <c r="G145" s="150"/>
      <c r="H145" s="150"/>
      <c r="I145" s="150"/>
      <c r="J145" s="150"/>
      <c r="K145" s="150"/>
      <c r="L145" s="150"/>
      <c r="M145" s="150"/>
      <c r="N145" s="150"/>
      <c r="O145" s="150"/>
      <c r="P145" s="150"/>
      <c r="Q145" s="150"/>
      <c r="R145" s="150"/>
    </row>
    <row r="146" spans="2:18" ht="15">
      <c r="B146" s="434" t="s">
        <v>81</v>
      </c>
      <c r="C146" s="424"/>
      <c r="D146" s="176"/>
      <c r="E146" s="176"/>
      <c r="F146" s="198"/>
      <c r="G146" s="150"/>
      <c r="H146" s="150"/>
      <c r="I146" s="150"/>
      <c r="J146" s="150"/>
      <c r="K146" s="150"/>
      <c r="L146" s="150"/>
      <c r="M146" s="150"/>
      <c r="N146" s="150"/>
      <c r="O146" s="150"/>
      <c r="P146" s="150"/>
      <c r="Q146" s="150"/>
      <c r="R146" s="150"/>
    </row>
    <row r="147" spans="2:18" ht="15">
      <c r="B147" s="156">
        <v>42493</v>
      </c>
      <c r="C147" s="202" t="s">
        <v>92</v>
      </c>
      <c r="D147" s="202"/>
      <c r="E147" s="202"/>
      <c r="F147" s="196">
        <v>300</v>
      </c>
      <c r="G147" s="150"/>
      <c r="H147" s="150"/>
      <c r="I147" s="150"/>
      <c r="J147" s="150"/>
      <c r="K147" s="150"/>
      <c r="L147" s="150"/>
      <c r="M147" s="150"/>
      <c r="N147" s="150"/>
      <c r="O147" s="150"/>
      <c r="P147" s="150"/>
      <c r="Q147" s="150"/>
      <c r="R147" s="150"/>
    </row>
    <row r="148" spans="2:18" ht="15">
      <c r="B148" s="195"/>
      <c r="C148" s="202"/>
      <c r="D148" s="202"/>
      <c r="E148" s="202"/>
      <c r="F148" s="196"/>
      <c r="G148" s="150"/>
      <c r="H148" s="150"/>
      <c r="I148" s="150"/>
      <c r="J148" s="150"/>
      <c r="K148" s="150"/>
      <c r="L148" s="150"/>
      <c r="M148" s="150"/>
      <c r="N148" s="150"/>
      <c r="O148" s="150"/>
      <c r="P148" s="150"/>
      <c r="Q148" s="150"/>
      <c r="R148" s="150"/>
    </row>
    <row r="149" spans="2:18" ht="15">
      <c r="B149" s="195"/>
      <c r="C149" s="241" t="s">
        <v>150</v>
      </c>
      <c r="D149" s="241"/>
      <c r="E149" s="241"/>
      <c r="F149" s="240">
        <f>F145+F147</f>
        <v>300</v>
      </c>
      <c r="G149" s="224"/>
      <c r="H149" s="150"/>
      <c r="I149" s="150"/>
      <c r="J149" s="150"/>
      <c r="K149" s="150"/>
      <c r="L149" s="150"/>
      <c r="M149" s="150"/>
      <c r="N149" s="150"/>
      <c r="O149" s="150"/>
      <c r="P149" s="150"/>
      <c r="Q149" s="150"/>
      <c r="R149" s="150"/>
    </row>
    <row r="150" spans="2:18" ht="15">
      <c r="B150" s="232">
        <v>42710</v>
      </c>
      <c r="C150" s="262" t="s">
        <v>154</v>
      </c>
      <c r="D150" s="262"/>
      <c r="E150" s="262"/>
      <c r="F150" s="173">
        <v>-300.01</v>
      </c>
      <c r="G150" s="224"/>
      <c r="H150" s="150"/>
      <c r="I150" s="150"/>
      <c r="J150" s="150"/>
      <c r="K150" s="150"/>
      <c r="L150" s="150"/>
      <c r="M150" s="150"/>
      <c r="N150" s="150"/>
      <c r="O150" s="150"/>
      <c r="P150" s="150"/>
      <c r="Q150" s="150"/>
      <c r="R150" s="150"/>
    </row>
    <row r="151" spans="2:18" ht="15">
      <c r="B151" s="406">
        <v>42734</v>
      </c>
      <c r="C151" s="241" t="str">
        <f>C141</f>
        <v>Saldo</v>
      </c>
      <c r="D151" s="241"/>
      <c r="E151" s="241"/>
      <c r="F151" s="240">
        <f>F149+F150</f>
        <v>-0.009999999999990905</v>
      </c>
      <c r="G151" s="150"/>
      <c r="H151" s="150"/>
      <c r="I151" s="150"/>
      <c r="J151" s="150"/>
      <c r="K151" s="150"/>
      <c r="L151" s="150"/>
      <c r="M151" s="150"/>
      <c r="N151" s="150"/>
      <c r="O151" s="150"/>
      <c r="P151" s="150"/>
      <c r="Q151" s="150"/>
      <c r="R151" s="150"/>
    </row>
    <row r="152" spans="2:18" ht="15">
      <c r="B152" s="406">
        <v>42735</v>
      </c>
      <c r="C152" s="241" t="s">
        <v>217</v>
      </c>
      <c r="D152" s="241"/>
      <c r="E152" s="241"/>
      <c r="F152" s="240">
        <v>0</v>
      </c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</row>
    <row r="153" spans="2:18" ht="15">
      <c r="B153" s="406">
        <v>42735</v>
      </c>
      <c r="C153" s="241" t="s">
        <v>2</v>
      </c>
      <c r="D153" s="241"/>
      <c r="E153" s="241"/>
      <c r="F153" s="240">
        <f>F151+F152</f>
        <v>-0.009999999999990905</v>
      </c>
      <c r="G153" s="150"/>
      <c r="H153" s="150"/>
      <c r="I153" s="150"/>
      <c r="J153" s="150"/>
      <c r="K153" s="150"/>
      <c r="L153" s="150"/>
      <c r="M153" s="150"/>
      <c r="N153" s="150"/>
      <c r="O153" s="150"/>
      <c r="P153" s="150"/>
      <c r="Q153" s="150"/>
      <c r="R153" s="150"/>
    </row>
    <row r="154" spans="2:18" ht="10.5" customHeight="1" thickBot="1">
      <c r="B154" s="163"/>
      <c r="C154" s="183"/>
      <c r="D154" s="183"/>
      <c r="E154" s="183"/>
      <c r="F154" s="199"/>
      <c r="G154" s="150"/>
      <c r="H154" s="150"/>
      <c r="I154" s="150"/>
      <c r="J154" s="150"/>
      <c r="K154" s="150"/>
      <c r="L154" s="150"/>
      <c r="M154" s="150"/>
      <c r="N154" s="150"/>
      <c r="O154" s="150"/>
      <c r="P154" s="150"/>
      <c r="Q154" s="150"/>
      <c r="R154" s="150"/>
    </row>
    <row r="155" spans="2:18" ht="24" customHeight="1" thickBot="1">
      <c r="B155" s="24"/>
      <c r="C155" s="24"/>
      <c r="D155" s="24"/>
      <c r="E155" s="24"/>
      <c r="F155" s="24"/>
      <c r="G155" s="150"/>
      <c r="H155" s="150"/>
      <c r="I155" s="150"/>
      <c r="J155" s="150"/>
      <c r="K155" s="150"/>
      <c r="L155" s="150"/>
      <c r="M155" s="150"/>
      <c r="N155" s="150"/>
      <c r="O155" s="150"/>
      <c r="P155" s="150"/>
      <c r="Q155" s="150"/>
      <c r="R155" s="150"/>
    </row>
    <row r="156" spans="2:18" ht="15">
      <c r="B156" s="255" t="s">
        <v>122</v>
      </c>
      <c r="C156" s="203"/>
      <c r="D156" s="203"/>
      <c r="E156" s="447" t="s">
        <v>119</v>
      </c>
      <c r="F156" s="444"/>
      <c r="G156" s="150"/>
      <c r="H156" s="150"/>
      <c r="I156" s="150"/>
      <c r="J156" s="150"/>
      <c r="K156" s="150"/>
      <c r="L156" s="150"/>
      <c r="M156" s="150"/>
      <c r="N156" s="150"/>
      <c r="O156" s="150"/>
      <c r="P156" s="150"/>
      <c r="Q156" s="150"/>
      <c r="R156" s="150"/>
    </row>
    <row r="157" spans="2:18" ht="15">
      <c r="B157" s="438"/>
      <c r="C157" s="131" t="s">
        <v>60</v>
      </c>
      <c r="D157" s="131"/>
      <c r="E157" s="131"/>
      <c r="F157" s="173">
        <v>0</v>
      </c>
      <c r="G157" s="150"/>
      <c r="H157" s="150"/>
      <c r="I157" s="150"/>
      <c r="J157" s="150"/>
      <c r="K157" s="150"/>
      <c r="L157" s="150"/>
      <c r="M157" s="150"/>
      <c r="N157" s="150"/>
      <c r="O157" s="150"/>
      <c r="P157" s="150"/>
      <c r="Q157" s="150"/>
      <c r="R157" s="150"/>
    </row>
    <row r="158" spans="2:18" ht="15">
      <c r="B158" s="434" t="s">
        <v>81</v>
      </c>
      <c r="C158" s="424"/>
      <c r="D158" s="176"/>
      <c r="E158" s="176"/>
      <c r="F158" s="198"/>
      <c r="G158" s="150"/>
      <c r="H158" s="150"/>
      <c r="I158" s="150"/>
      <c r="J158" s="150"/>
      <c r="K158" s="150"/>
      <c r="L158" s="150"/>
      <c r="M158" s="150"/>
      <c r="N158" s="150"/>
      <c r="O158" s="150"/>
      <c r="P158" s="150"/>
      <c r="Q158" s="150"/>
      <c r="R158" s="150"/>
    </row>
    <row r="159" spans="2:18" ht="15">
      <c r="B159" s="195"/>
      <c r="C159" s="202" t="s">
        <v>209</v>
      </c>
      <c r="D159" s="202"/>
      <c r="E159" s="425"/>
      <c r="F159" s="196">
        <v>10000</v>
      </c>
      <c r="G159" s="150"/>
      <c r="H159" s="150"/>
      <c r="I159" s="150"/>
      <c r="J159" s="150"/>
      <c r="K159" s="150"/>
      <c r="L159" s="150"/>
      <c r="M159" s="150"/>
      <c r="N159" s="150"/>
      <c r="O159" s="150"/>
      <c r="P159" s="150"/>
      <c r="Q159" s="150"/>
      <c r="R159" s="150"/>
    </row>
    <row r="160" spans="2:18" ht="15">
      <c r="B160" s="195"/>
      <c r="C160" s="202"/>
      <c r="D160" s="202"/>
      <c r="E160" s="223"/>
      <c r="F160" s="196"/>
      <c r="G160" s="150"/>
      <c r="H160" s="150"/>
      <c r="I160" s="150"/>
      <c r="J160" s="150"/>
      <c r="K160" s="150"/>
      <c r="L160" s="150"/>
      <c r="M160" s="150"/>
      <c r="N160" s="150"/>
      <c r="O160" s="150"/>
      <c r="P160" s="150"/>
      <c r="Q160" s="150"/>
      <c r="R160" s="150"/>
    </row>
    <row r="161" spans="2:18" ht="15">
      <c r="B161" s="195"/>
      <c r="C161" s="202" t="s">
        <v>101</v>
      </c>
      <c r="D161" s="202"/>
      <c r="E161" s="223"/>
      <c r="F161" s="196">
        <v>0</v>
      </c>
      <c r="G161" s="150"/>
      <c r="H161" s="150"/>
      <c r="I161" s="150"/>
      <c r="J161" s="150"/>
      <c r="K161" s="150"/>
      <c r="L161" s="150"/>
      <c r="M161" s="150"/>
      <c r="N161" s="150"/>
      <c r="O161" s="150"/>
      <c r="P161" s="150"/>
      <c r="Q161" s="150"/>
      <c r="R161" s="150"/>
    </row>
    <row r="162" spans="2:18" ht="15">
      <c r="B162" s="406">
        <f>B151</f>
        <v>42734</v>
      </c>
      <c r="C162" s="241" t="str">
        <f>C151</f>
        <v>Saldo</v>
      </c>
      <c r="D162" s="241"/>
      <c r="E162" s="241"/>
      <c r="F162" s="240">
        <f>SUM(F159:F161)</f>
        <v>10000</v>
      </c>
      <c r="G162" s="224"/>
      <c r="H162" s="150"/>
      <c r="I162" s="150"/>
      <c r="J162" s="150"/>
      <c r="K162" s="150"/>
      <c r="L162" s="150"/>
      <c r="M162" s="150"/>
      <c r="N162" s="150"/>
      <c r="O162" s="150"/>
      <c r="P162" s="150"/>
      <c r="Q162" s="150"/>
      <c r="R162" s="150"/>
    </row>
    <row r="163" spans="2:18" ht="13.5" thickBot="1">
      <c r="B163" s="163"/>
      <c r="C163" s="183"/>
      <c r="D163" s="183"/>
      <c r="E163" s="183"/>
      <c r="F163" s="199"/>
      <c r="G163" s="150"/>
      <c r="H163" s="150"/>
      <c r="I163" s="150"/>
      <c r="J163" s="150"/>
      <c r="K163" s="150"/>
      <c r="L163" s="150"/>
      <c r="M163" s="150"/>
      <c r="N163" s="150"/>
      <c r="O163" s="150"/>
      <c r="P163" s="150"/>
      <c r="Q163" s="150"/>
      <c r="R163" s="150"/>
    </row>
    <row r="164" spans="2:18" ht="13.5" thickBot="1">
      <c r="B164" s="24"/>
      <c r="C164" s="24"/>
      <c r="D164" s="24"/>
      <c r="E164" s="24"/>
      <c r="F164" s="24"/>
      <c r="G164" s="150"/>
      <c r="H164" s="150"/>
      <c r="I164" s="150"/>
      <c r="J164" s="150"/>
      <c r="K164" s="150"/>
      <c r="L164" s="150"/>
      <c r="M164" s="150"/>
      <c r="N164" s="150"/>
      <c r="O164" s="150"/>
      <c r="P164" s="150"/>
      <c r="Q164" s="150"/>
      <c r="R164" s="150"/>
    </row>
    <row r="165" spans="1:18" ht="15">
      <c r="A165" s="150"/>
      <c r="B165" s="255" t="s">
        <v>140</v>
      </c>
      <c r="C165" s="203"/>
      <c r="D165" s="203"/>
      <c r="E165" s="447" t="s">
        <v>141</v>
      </c>
      <c r="F165" s="444"/>
      <c r="G165" s="150"/>
      <c r="H165" s="150"/>
      <c r="I165" s="150"/>
      <c r="J165" s="150"/>
      <c r="K165" s="150"/>
      <c r="L165" s="150"/>
      <c r="M165" s="150"/>
      <c r="N165" s="150"/>
      <c r="O165" s="150"/>
      <c r="P165" s="150"/>
      <c r="Q165" s="150"/>
      <c r="R165" s="150"/>
    </row>
    <row r="166" spans="1:18" ht="15">
      <c r="A166" s="150"/>
      <c r="B166" s="242"/>
      <c r="C166" s="225"/>
      <c r="D166" s="225"/>
      <c r="E166" s="226"/>
      <c r="F166" s="243"/>
      <c r="G166" s="150"/>
      <c r="H166" s="150"/>
      <c r="I166" s="150"/>
      <c r="J166" s="150"/>
      <c r="K166" s="150"/>
      <c r="L166" s="150"/>
      <c r="M166" s="150"/>
      <c r="N166" s="150"/>
      <c r="O166" s="150"/>
      <c r="P166" s="150"/>
      <c r="Q166" s="150"/>
      <c r="R166" s="150"/>
    </row>
    <row r="167" spans="1:18" ht="15">
      <c r="A167" s="150"/>
      <c r="B167" s="242"/>
      <c r="C167" s="225"/>
      <c r="D167" s="225"/>
      <c r="E167" s="226"/>
      <c r="F167" s="405"/>
      <c r="G167" s="150"/>
      <c r="H167" s="150"/>
      <c r="I167" s="150"/>
      <c r="J167" s="150"/>
      <c r="K167" s="150"/>
      <c r="L167" s="150"/>
      <c r="M167" s="150"/>
      <c r="N167" s="150"/>
      <c r="O167" s="150"/>
      <c r="P167" s="150"/>
      <c r="Q167" s="150"/>
      <c r="R167" s="150"/>
    </row>
    <row r="168" spans="1:18" ht="15">
      <c r="A168" s="150"/>
      <c r="B168" s="406">
        <f>B162</f>
        <v>42734</v>
      </c>
      <c r="C168" s="241" t="str">
        <f>C162</f>
        <v>Saldo</v>
      </c>
      <c r="D168" s="263"/>
      <c r="E168" s="248"/>
      <c r="F168" s="240">
        <f>'fin overz 31 dec 2016'!G29</f>
        <v>704.3100000000034</v>
      </c>
      <c r="G168" s="150"/>
      <c r="H168" s="150"/>
      <c r="I168" s="150"/>
      <c r="J168" s="150"/>
      <c r="K168" s="150"/>
      <c r="L168" s="150"/>
      <c r="M168" s="150"/>
      <c r="N168" s="150"/>
      <c r="O168" s="150"/>
      <c r="P168" s="150"/>
      <c r="Q168" s="150"/>
      <c r="R168" s="150"/>
    </row>
    <row r="169" spans="1:18" ht="15.75" thickBot="1">
      <c r="A169" s="150"/>
      <c r="B169" s="244"/>
      <c r="C169" s="245"/>
      <c r="D169" s="246"/>
      <c r="E169" s="246"/>
      <c r="F169" s="247"/>
      <c r="G169" s="150"/>
      <c r="H169" s="150"/>
      <c r="I169" s="150"/>
      <c r="J169" s="150"/>
      <c r="K169" s="150"/>
      <c r="L169" s="150"/>
      <c r="M169" s="150"/>
      <c r="N169" s="150"/>
      <c r="O169" s="150"/>
      <c r="P169" s="150"/>
      <c r="Q169" s="150"/>
      <c r="R169" s="150"/>
    </row>
    <row r="170" spans="1:18" ht="15">
      <c r="A170" s="150"/>
      <c r="B170" s="228"/>
      <c r="C170" s="229"/>
      <c r="D170" s="229"/>
      <c r="E170" s="227"/>
      <c r="F170" s="227"/>
      <c r="G170" s="150"/>
      <c r="H170" s="150"/>
      <c r="I170" s="150"/>
      <c r="J170" s="150"/>
      <c r="K170" s="150"/>
      <c r="L170" s="150"/>
      <c r="M170" s="150"/>
      <c r="N170" s="150"/>
      <c r="O170" s="150"/>
      <c r="P170" s="150"/>
      <c r="Q170" s="150"/>
      <c r="R170" s="150"/>
    </row>
    <row r="171" spans="1:18" ht="15">
      <c r="A171" s="150"/>
      <c r="B171" s="150"/>
      <c r="C171" s="229"/>
      <c r="D171" s="229"/>
      <c r="E171" s="229"/>
      <c r="F171" s="227"/>
      <c r="G171" s="150"/>
      <c r="H171" s="150"/>
      <c r="I171" s="150"/>
      <c r="J171" s="150"/>
      <c r="K171" s="150"/>
      <c r="L171" s="150"/>
      <c r="M171" s="150"/>
      <c r="N171" s="150"/>
      <c r="O171" s="150"/>
      <c r="P171" s="150"/>
      <c r="Q171" s="150"/>
      <c r="R171" s="150"/>
    </row>
    <row r="172" spans="1:18" ht="15">
      <c r="A172" s="150"/>
      <c r="B172" s="150"/>
      <c r="C172" s="230"/>
      <c r="D172" s="230"/>
      <c r="E172" s="230"/>
      <c r="F172" s="227"/>
      <c r="G172" s="150"/>
      <c r="H172" s="150"/>
      <c r="I172" s="150"/>
      <c r="J172" s="150"/>
      <c r="K172" s="150"/>
      <c r="L172" s="150"/>
      <c r="M172" s="150"/>
      <c r="N172" s="150"/>
      <c r="O172" s="150"/>
      <c r="P172" s="150"/>
      <c r="Q172" s="150"/>
      <c r="R172" s="150"/>
    </row>
    <row r="173" spans="1:18" ht="12.75">
      <c r="A173" s="150"/>
      <c r="B173" s="150"/>
      <c r="C173" s="150"/>
      <c r="D173" s="150"/>
      <c r="E173" s="150"/>
      <c r="F173" s="150"/>
      <c r="G173" s="150"/>
      <c r="H173" s="150"/>
      <c r="I173" s="150"/>
      <c r="J173" s="150"/>
      <c r="K173" s="150"/>
      <c r="L173" s="150"/>
      <c r="M173" s="150"/>
      <c r="N173" s="150"/>
      <c r="O173" s="150"/>
      <c r="P173" s="150"/>
      <c r="Q173" s="150"/>
      <c r="R173" s="150"/>
    </row>
    <row r="174" spans="1:18" ht="12.75">
      <c r="A174" s="150"/>
      <c r="B174" s="150"/>
      <c r="C174" s="150"/>
      <c r="D174" s="150"/>
      <c r="E174" s="150"/>
      <c r="F174" s="150"/>
      <c r="G174" s="150"/>
      <c r="H174" s="150"/>
      <c r="I174" s="150"/>
      <c r="J174" s="150"/>
      <c r="K174" s="150"/>
      <c r="L174" s="150"/>
      <c r="M174" s="150"/>
      <c r="N174" s="150"/>
      <c r="O174" s="150"/>
      <c r="P174" s="150"/>
      <c r="Q174" s="150"/>
      <c r="R174" s="150"/>
    </row>
  </sheetData>
  <sheetProtection/>
  <printOptions/>
  <pageMargins left="0.75" right="0.75" top="1" bottom="1" header="0.5" footer="0.5"/>
  <pageSetup fitToHeight="2" fitToWidth="1" horizontalDpi="360" verticalDpi="360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5"/>
  <sheetViews>
    <sheetView zoomScale="115" zoomScaleNormal="115" zoomScalePageLayoutView="0" workbookViewId="0" topLeftCell="A118">
      <selection activeCell="G136" sqref="G136"/>
    </sheetView>
  </sheetViews>
  <sheetFormatPr defaultColWidth="9.140625" defaultRowHeight="12.75"/>
  <cols>
    <col min="1" max="1" width="3.28125" style="0" customWidth="1"/>
    <col min="2" max="2" width="13.00390625" style="0" bestFit="1" customWidth="1"/>
    <col min="5" max="5" width="15.421875" style="0" customWidth="1"/>
    <col min="6" max="6" width="17.7109375" style="0" bestFit="1" customWidth="1"/>
    <col min="7" max="7" width="9.140625" style="121" customWidth="1"/>
    <col min="8" max="8" width="12.140625" style="121" bestFit="1" customWidth="1"/>
    <col min="9" max="9" width="13.00390625" style="0" bestFit="1" customWidth="1"/>
    <col min="12" max="12" width="15.421875" style="0" customWidth="1"/>
    <col min="13" max="13" width="17.7109375" style="0" bestFit="1" customWidth="1"/>
    <col min="15" max="15" width="13.00390625" style="0" bestFit="1" customWidth="1"/>
    <col min="18" max="18" width="15.421875" style="0" customWidth="1"/>
    <col min="19" max="19" width="17.7109375" style="0" bestFit="1" customWidth="1"/>
  </cols>
  <sheetData>
    <row r="1" ht="22.5">
      <c r="B1" s="93" t="s">
        <v>48</v>
      </c>
    </row>
    <row r="2" spans="2:25" ht="18.75" customHeight="1" thickBot="1">
      <c r="B2" s="115" t="s">
        <v>52</v>
      </c>
      <c r="C2" s="109"/>
      <c r="D2" s="108"/>
      <c r="E2" s="108"/>
      <c r="F2" s="116"/>
      <c r="I2" s="24"/>
      <c r="J2" s="24"/>
      <c r="K2" s="24"/>
      <c r="L2" s="24"/>
      <c r="M2" s="24"/>
      <c r="O2" s="70"/>
      <c r="P2" s="71"/>
      <c r="Q2" s="72"/>
      <c r="R2" s="72"/>
      <c r="S2" s="73"/>
      <c r="T2" s="24"/>
      <c r="U2" s="24"/>
      <c r="V2" s="24"/>
      <c r="W2" s="24"/>
      <c r="X2" s="24"/>
      <c r="Y2" s="24"/>
    </row>
    <row r="3" spans="2:25" ht="18.75" customHeight="1">
      <c r="B3" s="16" t="s">
        <v>1</v>
      </c>
      <c r="C3" s="17"/>
      <c r="D3" s="17"/>
      <c r="E3" s="17"/>
      <c r="F3" s="18"/>
      <c r="I3" s="65"/>
      <c r="J3" s="23"/>
      <c r="K3" s="24"/>
      <c r="L3" s="24"/>
      <c r="M3" s="66"/>
      <c r="O3" s="74"/>
      <c r="P3" s="20"/>
      <c r="Q3" s="20"/>
      <c r="R3" s="20"/>
      <c r="S3" s="73"/>
      <c r="T3" s="24"/>
      <c r="U3" s="24"/>
      <c r="V3" s="24"/>
      <c r="W3" s="24"/>
      <c r="X3" s="24"/>
      <c r="Y3" s="24"/>
    </row>
    <row r="4" spans="2:25" ht="0.75" customHeight="1" thickBot="1">
      <c r="B4" s="19"/>
      <c r="C4" s="20"/>
      <c r="D4" s="20"/>
      <c r="E4" s="20"/>
      <c r="F4" s="21"/>
      <c r="I4" s="67"/>
      <c r="J4" s="33"/>
      <c r="K4" s="39"/>
      <c r="L4" s="39"/>
      <c r="M4" s="68"/>
      <c r="O4" s="67"/>
      <c r="P4" s="48"/>
      <c r="Q4" s="20"/>
      <c r="R4" s="20"/>
      <c r="S4" s="73"/>
      <c r="T4" s="24"/>
      <c r="U4" s="24"/>
      <c r="V4" s="24"/>
      <c r="W4" s="24"/>
      <c r="X4" s="24"/>
      <c r="Y4" s="24"/>
    </row>
    <row r="5" spans="2:25" ht="13.5" customHeight="1" hidden="1" thickBot="1">
      <c r="B5" s="22">
        <v>40544</v>
      </c>
      <c r="C5" s="23" t="s">
        <v>2</v>
      </c>
      <c r="D5" s="24"/>
      <c r="E5" s="24"/>
      <c r="F5" s="25">
        <v>637.35</v>
      </c>
      <c r="I5" s="67"/>
      <c r="J5" s="33"/>
      <c r="K5" s="39"/>
      <c r="L5" s="39"/>
      <c r="M5" s="68"/>
      <c r="O5" s="67"/>
      <c r="P5" s="20"/>
      <c r="Q5" s="20"/>
      <c r="R5" s="20"/>
      <c r="S5" s="73"/>
      <c r="T5" s="24"/>
      <c r="U5" s="24"/>
      <c r="V5" s="24"/>
      <c r="W5" s="24"/>
      <c r="X5" s="24"/>
      <c r="Y5" s="24"/>
    </row>
    <row r="6" spans="2:25" ht="13.5" customHeight="1" hidden="1" thickBot="1">
      <c r="B6" s="26"/>
      <c r="C6" s="24"/>
      <c r="D6" s="24"/>
      <c r="E6" s="24"/>
      <c r="F6" s="27"/>
      <c r="I6" s="67"/>
      <c r="J6" s="33"/>
      <c r="K6" s="39"/>
      <c r="L6" s="39"/>
      <c r="M6" s="15"/>
      <c r="O6" s="20"/>
      <c r="P6" s="48"/>
      <c r="Q6" s="20"/>
      <c r="R6" s="20"/>
      <c r="S6" s="73"/>
      <c r="T6" s="24"/>
      <c r="U6" s="24"/>
      <c r="V6" s="24"/>
      <c r="W6" s="24"/>
      <c r="X6" s="24"/>
      <c r="Y6" s="24"/>
    </row>
    <row r="7" spans="2:25" ht="16.5" customHeight="1" hidden="1" thickBot="1">
      <c r="B7" s="28"/>
      <c r="C7" s="29" t="s">
        <v>19</v>
      </c>
      <c r="D7" s="29"/>
      <c r="E7" s="29"/>
      <c r="F7" s="30">
        <v>18.77</v>
      </c>
      <c r="I7" s="67"/>
      <c r="J7" s="33"/>
      <c r="K7" s="39"/>
      <c r="L7" s="39"/>
      <c r="M7" s="15"/>
      <c r="O7" s="75"/>
      <c r="P7" s="20"/>
      <c r="Q7" s="20"/>
      <c r="R7" s="20"/>
      <c r="S7" s="73"/>
      <c r="T7" s="24"/>
      <c r="U7" s="24"/>
      <c r="V7" s="24"/>
      <c r="W7" s="24"/>
      <c r="X7" s="24"/>
      <c r="Y7" s="24"/>
    </row>
    <row r="8" spans="2:25" ht="16.5" customHeight="1" hidden="1" thickBot="1">
      <c r="B8" s="28"/>
      <c r="C8" s="29" t="s">
        <v>20</v>
      </c>
      <c r="D8" s="29"/>
      <c r="E8" s="29"/>
      <c r="F8" s="30">
        <v>19.63</v>
      </c>
      <c r="I8" s="67"/>
      <c r="J8" s="33"/>
      <c r="K8" s="39"/>
      <c r="L8" s="39"/>
      <c r="M8" s="15"/>
      <c r="O8" s="76"/>
      <c r="P8" s="20"/>
      <c r="Q8" s="20"/>
      <c r="R8" s="20"/>
      <c r="S8" s="73"/>
      <c r="T8" s="24"/>
      <c r="U8" s="24"/>
      <c r="V8" s="24"/>
      <c r="W8" s="24"/>
      <c r="X8" s="24"/>
      <c r="Y8" s="24"/>
    </row>
    <row r="9" spans="2:25" ht="16.5" customHeight="1" hidden="1" thickBot="1">
      <c r="B9" s="28"/>
      <c r="C9" s="29" t="s">
        <v>22</v>
      </c>
      <c r="D9" s="29"/>
      <c r="E9" s="29"/>
      <c r="F9" s="31">
        <v>7.79</v>
      </c>
      <c r="I9" s="67"/>
      <c r="J9" s="33"/>
      <c r="K9" s="39"/>
      <c r="L9" s="39"/>
      <c r="M9" s="15"/>
      <c r="O9" s="76"/>
      <c r="P9" s="20"/>
      <c r="Q9" s="20"/>
      <c r="R9" s="20"/>
      <c r="S9" s="73"/>
      <c r="T9" s="24"/>
      <c r="U9" s="24"/>
      <c r="V9" s="24"/>
      <c r="W9" s="24"/>
      <c r="X9" s="24"/>
      <c r="Y9" s="24"/>
    </row>
    <row r="10" spans="2:25" ht="18.75" customHeight="1" hidden="1" thickBot="1">
      <c r="B10" s="22">
        <v>41639</v>
      </c>
      <c r="C10" s="23" t="s">
        <v>2</v>
      </c>
      <c r="D10" s="24"/>
      <c r="E10" s="24"/>
      <c r="F10" s="32">
        <f>SUM(F5:F9)</f>
        <v>683.54</v>
      </c>
      <c r="I10" s="67"/>
      <c r="J10" s="23"/>
      <c r="K10" s="39"/>
      <c r="L10" s="39"/>
      <c r="M10" s="69"/>
      <c r="O10" s="76"/>
      <c r="P10" s="20"/>
      <c r="Q10" s="20"/>
      <c r="R10" s="20"/>
      <c r="S10" s="73"/>
      <c r="T10" s="24"/>
      <c r="U10" s="24"/>
      <c r="V10" s="24"/>
      <c r="W10" s="24"/>
      <c r="X10" s="24"/>
      <c r="Y10" s="24"/>
    </row>
    <row r="11" spans="2:25" ht="18.75" customHeight="1" hidden="1" thickBot="1">
      <c r="B11" s="22"/>
      <c r="C11" s="33" t="s">
        <v>32</v>
      </c>
      <c r="D11" s="24"/>
      <c r="E11" s="24"/>
      <c r="F11" s="34">
        <v>8.84</v>
      </c>
      <c r="I11" s="67"/>
      <c r="J11" s="33"/>
      <c r="K11" s="39"/>
      <c r="L11" s="39"/>
      <c r="M11" s="15"/>
      <c r="O11" s="77"/>
      <c r="P11" s="23"/>
      <c r="Q11" s="20"/>
      <c r="R11" s="20"/>
      <c r="S11" s="78"/>
      <c r="T11" s="24"/>
      <c r="U11" s="24"/>
      <c r="V11" s="24"/>
      <c r="W11" s="24"/>
      <c r="X11" s="24"/>
      <c r="Y11" s="24"/>
    </row>
    <row r="12" spans="2:25" ht="17.25" customHeight="1" hidden="1" thickBot="1">
      <c r="B12" s="94">
        <v>42004</v>
      </c>
      <c r="C12" s="95" t="s">
        <v>2</v>
      </c>
      <c r="D12" s="96"/>
      <c r="E12" s="96"/>
      <c r="F12" s="85">
        <f>SUM(F10:F11)</f>
        <v>692.38</v>
      </c>
      <c r="I12" s="67"/>
      <c r="J12" s="33"/>
      <c r="K12" s="39"/>
      <c r="L12" s="39"/>
      <c r="M12" s="15"/>
      <c r="O12" s="79"/>
      <c r="P12" s="48"/>
      <c r="Q12" s="20"/>
      <c r="R12" s="20"/>
      <c r="S12" s="78"/>
      <c r="T12" s="24"/>
      <c r="U12" s="24"/>
      <c r="V12" s="24"/>
      <c r="W12" s="24"/>
      <c r="X12" s="24"/>
      <c r="Y12" s="24"/>
    </row>
    <row r="13" spans="2:25" ht="18.75" customHeight="1">
      <c r="B13" s="100"/>
      <c r="C13" s="101" t="s">
        <v>50</v>
      </c>
      <c r="D13" s="102"/>
      <c r="E13" s="102"/>
      <c r="F13" s="103">
        <v>3.79</v>
      </c>
      <c r="G13" s="256"/>
      <c r="I13" s="67"/>
      <c r="J13" s="33"/>
      <c r="K13" s="39"/>
      <c r="L13" s="39"/>
      <c r="M13" s="15"/>
      <c r="O13" s="79"/>
      <c r="P13" s="48"/>
      <c r="Q13" s="20"/>
      <c r="R13" s="20"/>
      <c r="S13" s="78"/>
      <c r="T13" s="24"/>
      <c r="U13" s="24"/>
      <c r="V13" s="24"/>
      <c r="W13" s="24"/>
      <c r="X13" s="24"/>
      <c r="Y13" s="24"/>
    </row>
    <row r="14" spans="2:25" ht="11.25" customHeight="1">
      <c r="B14" s="124"/>
      <c r="C14" s="117"/>
      <c r="D14" s="122"/>
      <c r="E14" s="122"/>
      <c r="F14" s="118"/>
      <c r="I14" s="67"/>
      <c r="J14" s="33"/>
      <c r="K14" s="39"/>
      <c r="L14" s="39"/>
      <c r="M14" s="15"/>
      <c r="O14" s="77"/>
      <c r="P14" s="20"/>
      <c r="Q14" s="20"/>
      <c r="R14" s="20"/>
      <c r="S14" s="73"/>
      <c r="T14" s="24"/>
      <c r="U14" s="24"/>
      <c r="V14" s="24"/>
      <c r="W14" s="24"/>
      <c r="X14" s="24"/>
      <c r="Y14" s="24"/>
    </row>
    <row r="15" spans="2:25" ht="18" customHeight="1" thickBot="1">
      <c r="B15" s="104"/>
      <c r="C15" s="105" t="s">
        <v>61</v>
      </c>
      <c r="D15" s="106"/>
      <c r="E15" s="106"/>
      <c r="F15" s="107">
        <f>SUM(F12:F14)</f>
        <v>696.17</v>
      </c>
      <c r="I15" s="67"/>
      <c r="J15" s="33"/>
      <c r="K15" s="39"/>
      <c r="L15" s="39"/>
      <c r="M15" s="15"/>
      <c r="O15" s="77"/>
      <c r="P15" s="20"/>
      <c r="Q15" s="20"/>
      <c r="R15" s="20"/>
      <c r="S15" s="73"/>
      <c r="T15" s="24"/>
      <c r="U15" s="24"/>
      <c r="V15" s="24"/>
      <c r="W15" s="24"/>
      <c r="X15" s="24"/>
      <c r="Y15" s="24"/>
    </row>
    <row r="16" spans="2:25" ht="15.75" customHeight="1">
      <c r="B16" s="135"/>
      <c r="C16" s="136" t="s">
        <v>63</v>
      </c>
      <c r="D16" s="137"/>
      <c r="E16" s="137"/>
      <c r="F16" s="138">
        <v>2.17</v>
      </c>
      <c r="I16" s="67"/>
      <c r="J16" s="33"/>
      <c r="K16" s="39"/>
      <c r="L16" s="39"/>
      <c r="M16" s="15"/>
      <c r="O16" s="77"/>
      <c r="P16" s="20"/>
      <c r="Q16" s="20"/>
      <c r="R16" s="20"/>
      <c r="S16" s="73"/>
      <c r="T16" s="24"/>
      <c r="U16" s="24"/>
      <c r="V16" s="24"/>
      <c r="W16" s="24"/>
      <c r="X16" s="24"/>
      <c r="Y16" s="24"/>
    </row>
    <row r="17" spans="2:25" ht="15.75" customHeight="1">
      <c r="B17" s="139"/>
      <c r="C17" s="140"/>
      <c r="D17" s="141"/>
      <c r="E17" s="141"/>
      <c r="F17" s="142"/>
      <c r="I17" s="67"/>
      <c r="J17" s="33"/>
      <c r="K17" s="39"/>
      <c r="L17" s="39"/>
      <c r="M17" s="15"/>
      <c r="O17" s="77"/>
      <c r="P17" s="20"/>
      <c r="Q17" s="20"/>
      <c r="R17" s="20"/>
      <c r="S17" s="73"/>
      <c r="T17" s="24"/>
      <c r="U17" s="24"/>
      <c r="V17" s="24"/>
      <c r="W17" s="24"/>
      <c r="X17" s="24"/>
      <c r="Y17" s="24"/>
    </row>
    <row r="18" spans="2:25" ht="21.75" customHeight="1" thickBot="1">
      <c r="B18" s="143"/>
      <c r="C18" s="144" t="s">
        <v>64</v>
      </c>
      <c r="D18" s="145"/>
      <c r="E18" s="145"/>
      <c r="F18" s="146">
        <f>F15+F16</f>
        <v>698.3399999999999</v>
      </c>
      <c r="I18" s="67"/>
      <c r="J18" s="33"/>
      <c r="K18" s="24"/>
      <c r="L18" s="24"/>
      <c r="M18" s="15"/>
      <c r="O18" s="77"/>
      <c r="P18" s="20"/>
      <c r="Q18" s="20"/>
      <c r="R18" s="20"/>
      <c r="S18" s="73"/>
      <c r="T18" s="24"/>
      <c r="U18" s="24"/>
      <c r="V18" s="24"/>
      <c r="W18" s="24"/>
      <c r="X18" s="24"/>
      <c r="Y18" s="24"/>
    </row>
    <row r="19" spans="2:25" ht="18" customHeight="1" thickBot="1">
      <c r="B19" s="9"/>
      <c r="C19" s="8"/>
      <c r="F19" s="10"/>
      <c r="I19" s="67"/>
      <c r="J19" s="33"/>
      <c r="K19" s="24"/>
      <c r="L19" s="24"/>
      <c r="M19" s="15"/>
      <c r="O19" s="77"/>
      <c r="P19" s="20"/>
      <c r="Q19" s="20"/>
      <c r="R19" s="20"/>
      <c r="S19" s="73"/>
      <c r="T19" s="24"/>
      <c r="U19" s="24"/>
      <c r="V19" s="24"/>
      <c r="W19" s="24"/>
      <c r="X19" s="24"/>
      <c r="Y19" s="24"/>
    </row>
    <row r="20" spans="2:25" ht="18.75" customHeight="1">
      <c r="B20" s="35" t="s">
        <v>23</v>
      </c>
      <c r="C20" s="36"/>
      <c r="D20" s="37"/>
      <c r="E20" s="37"/>
      <c r="F20" s="38"/>
      <c r="I20" s="67"/>
      <c r="J20" s="33"/>
      <c r="K20" s="24"/>
      <c r="L20" s="24"/>
      <c r="M20" s="15"/>
      <c r="O20" s="77"/>
      <c r="P20" s="23"/>
      <c r="Q20" s="48"/>
      <c r="R20" s="48"/>
      <c r="S20" s="78"/>
      <c r="T20" s="24"/>
      <c r="U20" s="24"/>
      <c r="V20" s="24"/>
      <c r="W20" s="24"/>
      <c r="X20" s="24"/>
      <c r="Y20" s="24"/>
    </row>
    <row r="21" spans="2:25" ht="3.75" customHeight="1">
      <c r="B21" s="22"/>
      <c r="C21" s="33"/>
      <c r="D21" s="39"/>
      <c r="E21" s="39"/>
      <c r="F21" s="40"/>
      <c r="I21" s="67"/>
      <c r="J21" s="33"/>
      <c r="K21" s="24"/>
      <c r="L21" s="24"/>
      <c r="M21" s="15"/>
      <c r="O21" s="77"/>
      <c r="P21" s="23"/>
      <c r="Q21" s="48"/>
      <c r="R21" s="48"/>
      <c r="S21" s="78"/>
      <c r="T21" s="24"/>
      <c r="U21" s="24"/>
      <c r="V21" s="24"/>
      <c r="W21" s="24"/>
      <c r="X21" s="24"/>
      <c r="Y21" s="24"/>
    </row>
    <row r="22" spans="2:25" ht="18.75" customHeight="1" hidden="1">
      <c r="B22" s="22">
        <v>41442</v>
      </c>
      <c r="C22" s="33" t="s">
        <v>24</v>
      </c>
      <c r="D22" s="39"/>
      <c r="E22" s="39"/>
      <c r="F22" s="40">
        <v>2500</v>
      </c>
      <c r="I22" s="67"/>
      <c r="J22" s="23"/>
      <c r="K22" s="39"/>
      <c r="L22" s="39"/>
      <c r="M22" s="69"/>
      <c r="O22" s="77"/>
      <c r="P22" s="33"/>
      <c r="Q22" s="48"/>
      <c r="R22" s="48"/>
      <c r="S22" s="73"/>
      <c r="T22" s="24"/>
      <c r="U22" s="24"/>
      <c r="V22" s="24"/>
      <c r="W22" s="24"/>
      <c r="X22" s="24"/>
      <c r="Y22" s="24"/>
    </row>
    <row r="23" spans="2:25" ht="18.75" customHeight="1" hidden="1">
      <c r="B23" s="22"/>
      <c r="C23" s="33" t="s">
        <v>25</v>
      </c>
      <c r="D23" s="39"/>
      <c r="E23" s="39"/>
      <c r="F23" s="41">
        <v>-220.48</v>
      </c>
      <c r="I23" s="5"/>
      <c r="J23" s="4"/>
      <c r="K23" s="7"/>
      <c r="L23" s="7"/>
      <c r="M23" s="15"/>
      <c r="O23" s="77"/>
      <c r="P23" s="33"/>
      <c r="Q23" s="48"/>
      <c r="R23" s="48"/>
      <c r="S23" s="73"/>
      <c r="T23" s="24"/>
      <c r="U23" s="24"/>
      <c r="V23" s="24"/>
      <c r="W23" s="24"/>
      <c r="X23" s="24"/>
      <c r="Y23" s="24"/>
    </row>
    <row r="24" spans="2:25" ht="18.75" customHeight="1" hidden="1">
      <c r="B24" s="22"/>
      <c r="C24" s="33" t="s">
        <v>26</v>
      </c>
      <c r="D24" s="39"/>
      <c r="E24" s="39"/>
      <c r="F24" s="41">
        <v>-500</v>
      </c>
      <c r="O24" s="77"/>
      <c r="P24" s="20"/>
      <c r="Q24" s="48"/>
      <c r="R24" s="48"/>
      <c r="S24" s="73"/>
      <c r="T24" s="24"/>
      <c r="U24" s="24"/>
      <c r="V24" s="24"/>
      <c r="W24" s="24"/>
      <c r="X24" s="24"/>
      <c r="Y24" s="24"/>
    </row>
    <row r="25" spans="2:25" ht="18.75" customHeight="1" hidden="1">
      <c r="B25" s="22"/>
      <c r="C25" s="33" t="s">
        <v>28</v>
      </c>
      <c r="D25" s="39"/>
      <c r="E25" s="39"/>
      <c r="F25" s="41">
        <v>-180</v>
      </c>
      <c r="O25" s="77"/>
      <c r="P25" s="20"/>
      <c r="Q25" s="48"/>
      <c r="R25" s="48"/>
      <c r="S25" s="73"/>
      <c r="T25" s="24"/>
      <c r="U25" s="24"/>
      <c r="V25" s="24"/>
      <c r="W25" s="24"/>
      <c r="X25" s="24"/>
      <c r="Y25" s="24"/>
    </row>
    <row r="26" spans="2:25" ht="18.75" customHeight="1" hidden="1">
      <c r="B26" s="22"/>
      <c r="C26" s="33" t="s">
        <v>27</v>
      </c>
      <c r="D26" s="39"/>
      <c r="E26" s="39"/>
      <c r="F26" s="42">
        <v>-269.98</v>
      </c>
      <c r="O26" s="77"/>
      <c r="P26" s="20"/>
      <c r="Q26" s="48"/>
      <c r="R26" s="48"/>
      <c r="S26" s="73"/>
      <c r="T26" s="24"/>
      <c r="U26" s="24"/>
      <c r="V26" s="24"/>
      <c r="W26" s="24"/>
      <c r="X26" s="24"/>
      <c r="Y26" s="24"/>
    </row>
    <row r="27" spans="2:25" ht="18.75" customHeight="1" hidden="1">
      <c r="B27" s="22">
        <v>41639</v>
      </c>
      <c r="C27" s="23" t="s">
        <v>2</v>
      </c>
      <c r="D27" s="39"/>
      <c r="E27" s="39"/>
      <c r="F27" s="43">
        <f>SUM(F22:F26)</f>
        <v>1329.54</v>
      </c>
      <c r="O27" s="77"/>
      <c r="P27" s="20"/>
      <c r="Q27" s="48"/>
      <c r="R27" s="48"/>
      <c r="S27" s="73"/>
      <c r="T27" s="24"/>
      <c r="U27" s="24"/>
      <c r="V27" s="24"/>
      <c r="W27" s="24"/>
      <c r="X27" s="24"/>
      <c r="Y27" s="24"/>
    </row>
    <row r="28" spans="2:25" ht="18.75" customHeight="1" hidden="1">
      <c r="B28" s="22">
        <v>41649</v>
      </c>
      <c r="C28" s="33" t="s">
        <v>30</v>
      </c>
      <c r="D28" s="39"/>
      <c r="E28" s="39"/>
      <c r="F28" s="41">
        <v>-240.15</v>
      </c>
      <c r="O28" s="77"/>
      <c r="P28" s="20"/>
      <c r="Q28" s="48"/>
      <c r="R28" s="48"/>
      <c r="S28" s="73"/>
      <c r="T28" s="24"/>
      <c r="U28" s="24"/>
      <c r="V28" s="24"/>
      <c r="W28" s="24"/>
      <c r="X28" s="24"/>
      <c r="Y28" s="24"/>
    </row>
    <row r="29" spans="2:25" ht="18.75" customHeight="1" hidden="1">
      <c r="B29" s="22">
        <v>41799</v>
      </c>
      <c r="C29" s="33" t="s">
        <v>35</v>
      </c>
      <c r="D29" s="39"/>
      <c r="E29" s="39"/>
      <c r="F29" s="41">
        <v>-98.4</v>
      </c>
      <c r="O29" s="77"/>
      <c r="P29" s="23"/>
      <c r="Q29" s="48"/>
      <c r="R29" s="48"/>
      <c r="S29" s="69"/>
      <c r="T29" s="24"/>
      <c r="U29" s="24"/>
      <c r="V29" s="24"/>
      <c r="W29" s="24"/>
      <c r="X29" s="24"/>
      <c r="Y29" s="24"/>
    </row>
    <row r="30" spans="2:25" ht="18.75" customHeight="1" hidden="1">
      <c r="B30" s="22">
        <v>41829</v>
      </c>
      <c r="C30" s="33" t="s">
        <v>36</v>
      </c>
      <c r="D30" s="39"/>
      <c r="E30" s="39"/>
      <c r="F30" s="41">
        <v>-104.37</v>
      </c>
      <c r="O30" s="77"/>
      <c r="P30" s="23"/>
      <c r="Q30" s="48"/>
      <c r="R30" s="48"/>
      <c r="S30" s="78"/>
      <c r="T30" s="24"/>
      <c r="U30" s="24"/>
      <c r="V30" s="24"/>
      <c r="W30" s="24"/>
      <c r="X30" s="24"/>
      <c r="Y30" s="24"/>
    </row>
    <row r="31" spans="2:25" ht="18.75" customHeight="1" hidden="1">
      <c r="B31" s="22">
        <v>41913</v>
      </c>
      <c r="C31" s="33" t="s">
        <v>37</v>
      </c>
      <c r="D31" s="24"/>
      <c r="E31" s="24"/>
      <c r="F31" s="41">
        <v>-71.34</v>
      </c>
      <c r="O31" s="77"/>
      <c r="P31" s="33"/>
      <c r="Q31" s="48"/>
      <c r="R31" s="48"/>
      <c r="S31" s="73"/>
      <c r="T31" s="24"/>
      <c r="U31" s="24"/>
      <c r="V31" s="24"/>
      <c r="W31" s="24"/>
      <c r="X31" s="24"/>
      <c r="Y31" s="24"/>
    </row>
    <row r="32" spans="2:25" ht="18.75" customHeight="1" hidden="1">
      <c r="B32" s="22">
        <v>41927</v>
      </c>
      <c r="C32" s="33" t="s">
        <v>38</v>
      </c>
      <c r="D32" s="24"/>
      <c r="E32" s="24"/>
      <c r="F32" s="41">
        <v>-34.5</v>
      </c>
      <c r="O32" s="77"/>
      <c r="P32" s="33"/>
      <c r="Q32" s="48"/>
      <c r="R32" s="48"/>
      <c r="S32" s="73"/>
      <c r="T32" s="24"/>
      <c r="U32" s="24"/>
      <c r="V32" s="24"/>
      <c r="W32" s="24"/>
      <c r="X32" s="24"/>
      <c r="Y32" s="24"/>
    </row>
    <row r="33" spans="2:25" ht="4.5" customHeight="1" hidden="1">
      <c r="B33" s="22"/>
      <c r="C33" s="33"/>
      <c r="D33" s="24"/>
      <c r="E33" s="24"/>
      <c r="F33" s="42"/>
      <c r="O33" s="77"/>
      <c r="P33" s="33"/>
      <c r="Q33" s="48"/>
      <c r="R33" s="48"/>
      <c r="S33" s="73"/>
      <c r="T33" s="24"/>
      <c r="U33" s="24"/>
      <c r="V33" s="24"/>
      <c r="W33" s="24"/>
      <c r="X33" s="24"/>
      <c r="Y33" s="24"/>
    </row>
    <row r="34" spans="2:25" ht="9" customHeight="1" hidden="1" thickBot="1">
      <c r="B34" s="94">
        <v>42004</v>
      </c>
      <c r="C34" s="95" t="s">
        <v>2</v>
      </c>
      <c r="D34" s="97"/>
      <c r="E34" s="97"/>
      <c r="F34" s="86">
        <f>SUM(F27:F32)</f>
        <v>780.7799999999999</v>
      </c>
      <c r="O34" s="77"/>
      <c r="P34" s="33"/>
      <c r="Q34" s="48"/>
      <c r="R34" s="48"/>
      <c r="S34" s="73"/>
      <c r="T34" s="24"/>
      <c r="U34" s="24"/>
      <c r="V34" s="24"/>
      <c r="W34" s="24"/>
      <c r="X34" s="24"/>
      <c r="Y34" s="24"/>
    </row>
    <row r="35" spans="2:25" ht="18.75" customHeight="1">
      <c r="B35" s="124">
        <v>42109</v>
      </c>
      <c r="C35" s="117" t="s">
        <v>51</v>
      </c>
      <c r="D35" s="123"/>
      <c r="E35" s="123"/>
      <c r="F35" s="125">
        <f>-182.61</f>
        <v>-182.61</v>
      </c>
      <c r="G35" s="256"/>
      <c r="O35" s="77"/>
      <c r="P35" s="33"/>
      <c r="Q35" s="48"/>
      <c r="R35" s="48"/>
      <c r="S35" s="73"/>
      <c r="T35" s="24"/>
      <c r="U35" s="24"/>
      <c r="V35" s="24"/>
      <c r="W35" s="24"/>
      <c r="X35" s="24"/>
      <c r="Y35" s="24"/>
    </row>
    <row r="36" spans="2:25" ht="7.5" customHeight="1">
      <c r="B36" s="124"/>
      <c r="C36" s="117"/>
      <c r="D36" s="123"/>
      <c r="E36" s="123"/>
      <c r="F36" s="125"/>
      <c r="O36" s="77"/>
      <c r="P36" s="33"/>
      <c r="Q36" s="48"/>
      <c r="R36" s="48"/>
      <c r="S36" s="73"/>
      <c r="T36" s="24"/>
      <c r="U36" s="24"/>
      <c r="V36" s="24"/>
      <c r="W36" s="24"/>
      <c r="X36" s="24"/>
      <c r="Y36" s="24"/>
    </row>
    <row r="37" spans="2:25" ht="18.75" customHeight="1" thickBot="1">
      <c r="B37" s="104"/>
      <c r="C37" s="105" t="s">
        <v>61</v>
      </c>
      <c r="D37" s="113"/>
      <c r="E37" s="113"/>
      <c r="F37" s="114">
        <f>F34+F35</f>
        <v>598.1699999999998</v>
      </c>
      <c r="O37" s="77"/>
      <c r="P37" s="33"/>
      <c r="Q37" s="48"/>
      <c r="R37" s="48"/>
      <c r="S37" s="73"/>
      <c r="T37" s="24"/>
      <c r="U37" s="24"/>
      <c r="V37" s="24"/>
      <c r="W37" s="24"/>
      <c r="X37" s="24"/>
      <c r="Y37" s="24"/>
    </row>
    <row r="38" spans="2:25" ht="18.75" customHeight="1">
      <c r="B38" s="135"/>
      <c r="C38" s="136" t="s">
        <v>66</v>
      </c>
      <c r="D38" s="137"/>
      <c r="E38" s="137"/>
      <c r="F38" s="138">
        <v>0</v>
      </c>
      <c r="O38" s="67"/>
      <c r="P38" s="23"/>
      <c r="Q38" s="48"/>
      <c r="R38" s="48"/>
      <c r="S38" s="69"/>
      <c r="T38" s="24"/>
      <c r="U38" s="24"/>
      <c r="V38" s="24"/>
      <c r="W38" s="24"/>
      <c r="X38" s="24"/>
      <c r="Y38" s="24"/>
    </row>
    <row r="39" spans="2:25" ht="18" customHeight="1">
      <c r="B39" s="139"/>
      <c r="C39" s="140" t="str">
        <f>C18</f>
        <v>Saldo 24  mei 2016</v>
      </c>
      <c r="D39" s="141"/>
      <c r="E39" s="141"/>
      <c r="F39" s="142">
        <f>F37+F38</f>
        <v>598.1699999999998</v>
      </c>
      <c r="O39" s="67"/>
      <c r="P39" s="23"/>
      <c r="Q39" s="48"/>
      <c r="R39" s="48"/>
      <c r="S39" s="69"/>
      <c r="T39" s="24"/>
      <c r="U39" s="24"/>
      <c r="V39" s="24"/>
      <c r="W39" s="24"/>
      <c r="X39" s="24"/>
      <c r="Y39" s="24"/>
    </row>
    <row r="40" spans="2:25" ht="18.75" customHeight="1" thickBot="1">
      <c r="B40" s="143"/>
      <c r="C40" s="144"/>
      <c r="D40" s="145"/>
      <c r="E40" s="145"/>
      <c r="F40" s="146"/>
      <c r="O40" s="67"/>
      <c r="P40" s="23"/>
      <c r="Q40" s="48"/>
      <c r="R40" s="48"/>
      <c r="S40" s="69"/>
      <c r="T40" s="24"/>
      <c r="U40" s="24"/>
      <c r="V40" s="24"/>
      <c r="W40" s="24"/>
      <c r="X40" s="24"/>
      <c r="Y40" s="24"/>
    </row>
    <row r="41" spans="2:25" ht="18.75" customHeight="1" thickBot="1">
      <c r="B41" s="148"/>
      <c r="C41" s="149"/>
      <c r="D41" s="150"/>
      <c r="E41" s="150"/>
      <c r="F41" s="151" t="s">
        <v>49</v>
      </c>
      <c r="O41" s="67"/>
      <c r="P41" s="23"/>
      <c r="Q41" s="48"/>
      <c r="R41" s="48"/>
      <c r="S41" s="69"/>
      <c r="T41" s="24"/>
      <c r="U41" s="24"/>
      <c r="V41" s="24"/>
      <c r="W41" s="24"/>
      <c r="X41" s="24"/>
      <c r="Y41" s="24"/>
    </row>
    <row r="42" spans="2:25" ht="18" customHeight="1">
      <c r="B42" s="44" t="s">
        <v>11</v>
      </c>
      <c r="C42" s="45"/>
      <c r="D42" s="46"/>
      <c r="E42" s="46"/>
      <c r="F42" s="18"/>
      <c r="G42" s="257"/>
      <c r="L42" s="2"/>
      <c r="N42" s="3"/>
      <c r="O42" s="67"/>
      <c r="P42" s="33"/>
      <c r="Q42" s="20"/>
      <c r="R42" s="20"/>
      <c r="S42" s="15"/>
      <c r="T42" s="24"/>
      <c r="U42" s="24"/>
      <c r="V42" s="24"/>
      <c r="W42" s="24"/>
      <c r="X42" s="24"/>
      <c r="Y42" s="24"/>
    </row>
    <row r="43" spans="2:25" s="1" customFormat="1" ht="17.25" customHeight="1">
      <c r="B43" s="19" t="s">
        <v>0</v>
      </c>
      <c r="C43" s="20"/>
      <c r="D43" s="20"/>
      <c r="E43" s="20"/>
      <c r="F43" s="47">
        <v>1000</v>
      </c>
      <c r="G43" s="147"/>
      <c r="H43" s="147"/>
      <c r="K43" s="147"/>
      <c r="O43" s="67"/>
      <c r="P43" s="33"/>
      <c r="Q43" s="20"/>
      <c r="R43" s="20"/>
      <c r="S43" s="15"/>
      <c r="T43" s="20"/>
      <c r="U43" s="20"/>
      <c r="V43" s="20"/>
      <c r="W43" s="20"/>
      <c r="X43" s="20"/>
      <c r="Y43" s="20"/>
    </row>
    <row r="44" spans="2:25" s="1" customFormat="1" ht="19.5" customHeight="1">
      <c r="B44" s="22">
        <v>39448</v>
      </c>
      <c r="C44" s="48" t="s">
        <v>2</v>
      </c>
      <c r="D44" s="20"/>
      <c r="E44" s="20"/>
      <c r="F44" s="47">
        <v>551.57</v>
      </c>
      <c r="G44" s="147"/>
      <c r="H44" s="147"/>
      <c r="O44" s="67"/>
      <c r="P44" s="33"/>
      <c r="Q44" s="24"/>
      <c r="R44" s="56"/>
      <c r="S44" s="80"/>
      <c r="T44" s="20"/>
      <c r="U44" s="20"/>
      <c r="V44" s="20"/>
      <c r="W44" s="20"/>
      <c r="X44" s="20"/>
      <c r="Y44" s="20"/>
    </row>
    <row r="45" spans="2:25" s="1" customFormat="1" ht="12.75" customHeight="1">
      <c r="B45" s="22">
        <v>39464</v>
      </c>
      <c r="C45" s="20" t="s">
        <v>4</v>
      </c>
      <c r="D45" s="20"/>
      <c r="E45" s="20"/>
      <c r="F45" s="47">
        <v>-87.92</v>
      </c>
      <c r="G45" s="147"/>
      <c r="H45" s="147"/>
      <c r="O45" s="67"/>
      <c r="P45" s="23"/>
      <c r="Q45" s="24"/>
      <c r="R45" s="24"/>
      <c r="S45" s="66"/>
      <c r="T45" s="20"/>
      <c r="U45" s="20"/>
      <c r="V45" s="20"/>
      <c r="W45" s="20"/>
      <c r="X45" s="20"/>
      <c r="Y45" s="20"/>
    </row>
    <row r="46" spans="2:25" s="1" customFormat="1" ht="12.75" customHeight="1">
      <c r="B46" s="49"/>
      <c r="C46" s="48"/>
      <c r="D46" s="20" t="s">
        <v>3</v>
      </c>
      <c r="E46" s="20"/>
      <c r="F46" s="47"/>
      <c r="G46" s="147"/>
      <c r="H46" s="147"/>
      <c r="O46" s="67"/>
      <c r="P46" s="24"/>
      <c r="Q46" s="24"/>
      <c r="R46" s="24"/>
      <c r="S46" s="24"/>
      <c r="T46" s="20"/>
      <c r="U46" s="20"/>
      <c r="V46" s="20"/>
      <c r="W46" s="20"/>
      <c r="X46" s="20"/>
      <c r="Y46" s="20"/>
    </row>
    <row r="47" spans="2:25" s="1" customFormat="1" ht="16.5" customHeight="1">
      <c r="B47" s="50">
        <v>2008</v>
      </c>
      <c r="C47" s="20" t="s">
        <v>5</v>
      </c>
      <c r="D47" s="20"/>
      <c r="E47" s="20"/>
      <c r="F47" s="47">
        <v>1000</v>
      </c>
      <c r="G47" s="147"/>
      <c r="H47" s="147"/>
      <c r="O47" s="67"/>
      <c r="P47" s="33"/>
      <c r="Q47" s="24"/>
      <c r="R47" s="24"/>
      <c r="S47" s="11"/>
      <c r="T47" s="20"/>
      <c r="U47" s="20"/>
      <c r="V47" s="20"/>
      <c r="W47" s="20"/>
      <c r="X47" s="20"/>
      <c r="Y47" s="20"/>
    </row>
    <row r="48" spans="2:25" s="1" customFormat="1" ht="16.5" customHeight="1">
      <c r="B48" s="51">
        <v>40114</v>
      </c>
      <c r="C48" s="20" t="s">
        <v>6</v>
      </c>
      <c r="D48" s="20"/>
      <c r="E48" s="20"/>
      <c r="F48" s="47">
        <v>-55.6</v>
      </c>
      <c r="G48" s="147"/>
      <c r="H48" s="147"/>
      <c r="O48" s="81"/>
      <c r="P48" s="29"/>
      <c r="Q48" s="29"/>
      <c r="R48" s="29"/>
      <c r="S48" s="80"/>
      <c r="T48" s="20"/>
      <c r="U48" s="20"/>
      <c r="V48" s="20"/>
      <c r="W48" s="20"/>
      <c r="X48" s="20"/>
      <c r="Y48" s="20"/>
    </row>
    <row r="49" spans="2:25" s="1" customFormat="1" ht="16.5" customHeight="1">
      <c r="B49" s="51">
        <v>40169</v>
      </c>
      <c r="C49" s="20" t="s">
        <v>6</v>
      </c>
      <c r="D49" s="20"/>
      <c r="E49" s="20"/>
      <c r="F49" s="47">
        <v>-150</v>
      </c>
      <c r="G49" s="147"/>
      <c r="H49" s="147"/>
      <c r="O49" s="81"/>
      <c r="P49" s="29"/>
      <c r="Q49" s="29"/>
      <c r="R49" s="29"/>
      <c r="S49" s="82"/>
      <c r="T49" s="20"/>
      <c r="U49" s="20"/>
      <c r="V49" s="20"/>
      <c r="W49" s="20"/>
      <c r="X49" s="20"/>
      <c r="Y49" s="20"/>
    </row>
    <row r="50" spans="2:25" s="1" customFormat="1" ht="16.5" customHeight="1">
      <c r="B50" s="51">
        <v>40178</v>
      </c>
      <c r="C50" s="20" t="s">
        <v>6</v>
      </c>
      <c r="D50" s="20"/>
      <c r="E50" s="20"/>
      <c r="F50" s="52">
        <v>-109.5</v>
      </c>
      <c r="G50" s="147"/>
      <c r="H50" s="147"/>
      <c r="O50" s="81"/>
      <c r="P50" s="62"/>
      <c r="Q50" s="29"/>
      <c r="R50" s="29"/>
      <c r="S50" s="83"/>
      <c r="T50" s="20"/>
      <c r="U50" s="20"/>
      <c r="V50" s="20"/>
      <c r="W50" s="20"/>
      <c r="X50" s="20"/>
      <c r="Y50" s="20"/>
    </row>
    <row r="51" spans="2:25" s="1" customFormat="1" ht="21.75" customHeight="1">
      <c r="B51" s="53">
        <v>39813</v>
      </c>
      <c r="C51" s="23" t="s">
        <v>2</v>
      </c>
      <c r="D51" s="20"/>
      <c r="E51" s="20"/>
      <c r="F51" s="54">
        <f>SUM(F44:F50)</f>
        <v>1148.5500000000002</v>
      </c>
      <c r="G51" s="147"/>
      <c r="H51" s="147"/>
      <c r="O51" s="81"/>
      <c r="P51" s="29"/>
      <c r="Q51" s="29"/>
      <c r="R51" s="29"/>
      <c r="S51" s="82"/>
      <c r="T51" s="20"/>
      <c r="U51" s="20"/>
      <c r="V51" s="20"/>
      <c r="W51" s="20"/>
      <c r="X51" s="20"/>
      <c r="Y51" s="20"/>
    </row>
    <row r="52" spans="2:25" s="1" customFormat="1" ht="8.25" customHeight="1">
      <c r="B52" s="55"/>
      <c r="C52" s="48"/>
      <c r="D52" s="20"/>
      <c r="E52" s="20"/>
      <c r="F52" s="54"/>
      <c r="G52" s="147"/>
      <c r="H52" s="147"/>
      <c r="O52" s="81"/>
      <c r="P52" s="29"/>
      <c r="Q52" s="29"/>
      <c r="R52" s="29"/>
      <c r="S52" s="80"/>
      <c r="T52" s="20"/>
      <c r="U52" s="20"/>
      <c r="V52" s="20"/>
      <c r="W52" s="20"/>
      <c r="X52" s="20"/>
      <c r="Y52" s="20"/>
    </row>
    <row r="53" spans="2:25" s="1" customFormat="1" ht="16.5" customHeight="1">
      <c r="B53" s="53">
        <v>39843</v>
      </c>
      <c r="C53" s="20" t="s">
        <v>7</v>
      </c>
      <c r="D53" s="20"/>
      <c r="E53" s="20"/>
      <c r="F53" s="47">
        <v>-84.24</v>
      </c>
      <c r="G53" s="147"/>
      <c r="H53" s="147"/>
      <c r="O53" s="81"/>
      <c r="P53" s="29"/>
      <c r="Q53" s="29"/>
      <c r="R53" s="29"/>
      <c r="S53" s="80"/>
      <c r="T53" s="20"/>
      <c r="U53" s="20"/>
      <c r="V53" s="20"/>
      <c r="W53" s="20"/>
      <c r="X53" s="20"/>
      <c r="Y53" s="20"/>
    </row>
    <row r="54" spans="2:25" s="1" customFormat="1" ht="16.5" customHeight="1">
      <c r="B54" s="53">
        <v>39843</v>
      </c>
      <c r="C54" s="20" t="s">
        <v>7</v>
      </c>
      <c r="D54" s="20"/>
      <c r="E54" s="20"/>
      <c r="F54" s="52">
        <v>-26.15</v>
      </c>
      <c r="G54" s="147"/>
      <c r="H54" s="147"/>
      <c r="O54" s="81"/>
      <c r="P54" s="29"/>
      <c r="Q54" s="29"/>
      <c r="R54" s="29"/>
      <c r="S54" s="80"/>
      <c r="T54" s="20"/>
      <c r="U54" s="20"/>
      <c r="V54" s="20"/>
      <c r="W54" s="20"/>
      <c r="X54" s="20"/>
      <c r="Y54" s="20"/>
    </row>
    <row r="55" spans="2:25" s="6" customFormat="1" ht="18.75" customHeight="1">
      <c r="B55" s="53">
        <v>40178</v>
      </c>
      <c r="C55" s="23" t="s">
        <v>2</v>
      </c>
      <c r="D55" s="48"/>
      <c r="E55" s="48"/>
      <c r="F55" s="54">
        <f>SUM(F51:F54)</f>
        <v>1038.16</v>
      </c>
      <c r="G55" s="258"/>
      <c r="H55" s="258"/>
      <c r="O55" s="81"/>
      <c r="P55" s="29"/>
      <c r="Q55" s="29"/>
      <c r="R55" s="29"/>
      <c r="S55" s="80"/>
      <c r="T55" s="48"/>
      <c r="U55" s="48"/>
      <c r="V55" s="48"/>
      <c r="W55" s="48"/>
      <c r="X55" s="48"/>
      <c r="Y55" s="48"/>
    </row>
    <row r="56" spans="2:25" s="6" customFormat="1" ht="8.25" customHeight="1">
      <c r="B56" s="53"/>
      <c r="C56" s="23"/>
      <c r="D56" s="48"/>
      <c r="E56" s="48"/>
      <c r="F56" s="54"/>
      <c r="G56" s="258"/>
      <c r="H56" s="258"/>
      <c r="O56" s="81"/>
      <c r="P56" s="29"/>
      <c r="Q56" s="29"/>
      <c r="R56" s="29"/>
      <c r="S56" s="80"/>
      <c r="T56" s="48"/>
      <c r="U56" s="48"/>
      <c r="V56" s="48"/>
      <c r="W56" s="48"/>
      <c r="X56" s="48"/>
      <c r="Y56" s="48"/>
    </row>
    <row r="57" spans="2:25" s="6" customFormat="1" ht="13.5" customHeight="1">
      <c r="B57" s="53"/>
      <c r="C57" s="33" t="s">
        <v>8</v>
      </c>
      <c r="D57" s="48"/>
      <c r="E57" s="48"/>
      <c r="F57" s="47">
        <v>-500</v>
      </c>
      <c r="G57" s="258"/>
      <c r="H57" s="258"/>
      <c r="O57" s="84"/>
      <c r="P57" s="29"/>
      <c r="Q57" s="29"/>
      <c r="R57" s="29"/>
      <c r="S57" s="82"/>
      <c r="T57" s="48"/>
      <c r="U57" s="48"/>
      <c r="V57" s="48"/>
      <c r="W57" s="48"/>
      <c r="X57" s="48"/>
      <c r="Y57" s="48"/>
    </row>
    <row r="58" spans="2:25" s="6" customFormat="1" ht="8.25" customHeight="1">
      <c r="B58" s="53"/>
      <c r="C58" s="33"/>
      <c r="D58" s="48"/>
      <c r="E58" s="48"/>
      <c r="F58" s="47"/>
      <c r="G58" s="258"/>
      <c r="H58" s="258"/>
      <c r="O58" s="84"/>
      <c r="P58" s="23"/>
      <c r="Q58" s="29"/>
      <c r="R58" s="29"/>
      <c r="S58" s="82"/>
      <c r="T58" s="48"/>
      <c r="U58" s="48"/>
      <c r="V58" s="48"/>
      <c r="W58" s="48"/>
      <c r="X58" s="48"/>
      <c r="Y58" s="48"/>
    </row>
    <row r="59" spans="2:25" s="6" customFormat="1" ht="13.5" customHeight="1">
      <c r="B59" s="53">
        <v>40281</v>
      </c>
      <c r="C59" s="20" t="s">
        <v>9</v>
      </c>
      <c r="D59" s="48"/>
      <c r="E59" s="48"/>
      <c r="F59" s="47">
        <v>-100.93</v>
      </c>
      <c r="G59" s="258"/>
      <c r="H59" s="258"/>
      <c r="O59" s="84"/>
      <c r="P59" s="29"/>
      <c r="Q59" s="29"/>
      <c r="R59" s="29"/>
      <c r="S59" s="82"/>
      <c r="T59" s="48"/>
      <c r="U59" s="48"/>
      <c r="V59" s="48"/>
      <c r="W59" s="48"/>
      <c r="X59" s="48"/>
      <c r="Y59" s="48"/>
    </row>
    <row r="60" spans="2:25" s="6" customFormat="1" ht="13.5" customHeight="1">
      <c r="B60" s="53">
        <v>40351</v>
      </c>
      <c r="C60" s="20" t="s">
        <v>9</v>
      </c>
      <c r="D60" s="48"/>
      <c r="E60" s="48"/>
      <c r="F60" s="47">
        <v>-139</v>
      </c>
      <c r="G60" s="258"/>
      <c r="H60" s="25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</row>
    <row r="61" spans="2:25" s="6" customFormat="1" ht="13.5" customHeight="1">
      <c r="B61" s="53">
        <v>40490</v>
      </c>
      <c r="C61" s="20" t="s">
        <v>10</v>
      </c>
      <c r="D61" s="48"/>
      <c r="E61" s="48"/>
      <c r="F61" s="47">
        <v>2000</v>
      </c>
      <c r="G61" s="258"/>
      <c r="H61" s="25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</row>
    <row r="62" spans="2:25" s="6" customFormat="1" ht="16.5" customHeight="1">
      <c r="B62" s="53">
        <v>40512</v>
      </c>
      <c r="C62" s="20" t="s">
        <v>6</v>
      </c>
      <c r="D62" s="48"/>
      <c r="E62" s="48"/>
      <c r="F62" s="47">
        <v>-209.91</v>
      </c>
      <c r="G62" s="258"/>
      <c r="H62" s="25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</row>
    <row r="63" spans="2:25" s="6" customFormat="1" ht="16.5" customHeight="1">
      <c r="B63" s="53">
        <v>40535</v>
      </c>
      <c r="C63" s="20" t="s">
        <v>9</v>
      </c>
      <c r="D63" s="48"/>
      <c r="E63" s="48"/>
      <c r="F63" s="52">
        <v>-69.18</v>
      </c>
      <c r="G63" s="258"/>
      <c r="H63" s="25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</row>
    <row r="64" spans="2:8" s="6" customFormat="1" ht="21" customHeight="1">
      <c r="B64" s="53">
        <v>40543</v>
      </c>
      <c r="C64" s="23" t="s">
        <v>2</v>
      </c>
      <c r="D64" s="48"/>
      <c r="E64" s="48"/>
      <c r="F64" s="43">
        <f>SUM(F55:F63)</f>
        <v>2019.14</v>
      </c>
      <c r="G64" s="258"/>
      <c r="H64" s="258"/>
    </row>
    <row r="65" spans="2:8" s="6" customFormat="1" ht="6.75" customHeight="1">
      <c r="B65" s="53"/>
      <c r="C65" s="23"/>
      <c r="D65" s="48"/>
      <c r="E65" s="48"/>
      <c r="F65" s="54"/>
      <c r="G65" s="258"/>
      <c r="H65" s="258"/>
    </row>
    <row r="66" spans="2:8" s="6" customFormat="1" ht="16.5" customHeight="1">
      <c r="B66" s="53">
        <v>40567</v>
      </c>
      <c r="C66" s="33" t="s">
        <v>12</v>
      </c>
      <c r="D66" s="48"/>
      <c r="E66" s="48"/>
      <c r="F66" s="47">
        <v>-244.86</v>
      </c>
      <c r="G66" s="258"/>
      <c r="H66" s="258"/>
    </row>
    <row r="67" spans="2:8" s="6" customFormat="1" ht="18" customHeight="1">
      <c r="B67" s="53">
        <v>40570</v>
      </c>
      <c r="C67" s="33" t="s">
        <v>13</v>
      </c>
      <c r="D67" s="48"/>
      <c r="E67" s="48"/>
      <c r="F67" s="47">
        <v>1000</v>
      </c>
      <c r="G67" s="258"/>
      <c r="H67" s="258"/>
    </row>
    <row r="68" spans="2:8" s="6" customFormat="1" ht="16.5" customHeight="1">
      <c r="B68" s="53">
        <v>40883</v>
      </c>
      <c r="C68" s="33" t="s">
        <v>14</v>
      </c>
      <c r="D68" s="48"/>
      <c r="E68" s="48"/>
      <c r="F68" s="47">
        <v>-203.37</v>
      </c>
      <c r="G68" s="258"/>
      <c r="H68" s="258"/>
    </row>
    <row r="69" spans="2:8" s="6" customFormat="1" ht="16.5" customHeight="1">
      <c r="B69" s="53">
        <v>40892</v>
      </c>
      <c r="C69" s="33" t="s">
        <v>15</v>
      </c>
      <c r="D69" s="48"/>
      <c r="E69" s="48"/>
      <c r="F69" s="52">
        <v>-52.25</v>
      </c>
      <c r="G69" s="258"/>
      <c r="H69" s="258"/>
    </row>
    <row r="70" spans="2:8" s="6" customFormat="1" ht="14.25" customHeight="1" hidden="1">
      <c r="B70" s="22">
        <v>40908</v>
      </c>
      <c r="C70" s="23" t="s">
        <v>2</v>
      </c>
      <c r="D70" s="48"/>
      <c r="E70" s="48"/>
      <c r="F70" s="43">
        <f>SUM(F64:F69)</f>
        <v>2518.6600000000003</v>
      </c>
      <c r="G70" s="258"/>
      <c r="H70" s="258"/>
    </row>
    <row r="71" spans="2:8" s="6" customFormat="1" ht="7.5" customHeight="1" hidden="1">
      <c r="B71" s="22"/>
      <c r="C71" s="23"/>
      <c r="D71" s="48"/>
      <c r="E71" s="48"/>
      <c r="F71" s="43"/>
      <c r="G71" s="258"/>
      <c r="H71" s="258"/>
    </row>
    <row r="72" spans="2:8" s="1" customFormat="1" ht="18" customHeight="1" hidden="1">
      <c r="B72" s="22">
        <v>40935</v>
      </c>
      <c r="C72" s="33" t="s">
        <v>17</v>
      </c>
      <c r="D72" s="20"/>
      <c r="E72" s="20"/>
      <c r="F72" s="41">
        <v>-302.75</v>
      </c>
      <c r="G72" s="147"/>
      <c r="H72" s="147"/>
    </row>
    <row r="73" spans="2:8" s="1" customFormat="1" ht="15.75" customHeight="1" hidden="1">
      <c r="B73" s="22">
        <v>41081</v>
      </c>
      <c r="C73" s="33" t="s">
        <v>18</v>
      </c>
      <c r="D73" s="20"/>
      <c r="E73" s="20"/>
      <c r="F73" s="41">
        <v>-188.78</v>
      </c>
      <c r="G73" s="147"/>
      <c r="H73" s="147"/>
    </row>
    <row r="74" spans="2:6" ht="16.5" customHeight="1" hidden="1">
      <c r="B74" s="22">
        <v>41270</v>
      </c>
      <c r="C74" s="33" t="s">
        <v>21</v>
      </c>
      <c r="D74" s="24"/>
      <c r="E74" s="56"/>
      <c r="F74" s="57">
        <v>-300</v>
      </c>
    </row>
    <row r="75" spans="2:6" ht="23.25" customHeight="1" hidden="1">
      <c r="B75" s="22">
        <v>41274</v>
      </c>
      <c r="C75" s="23" t="s">
        <v>2</v>
      </c>
      <c r="D75" s="24"/>
      <c r="E75" s="24"/>
      <c r="F75" s="32">
        <f>SUM(F70:F74)</f>
        <v>1727.1300000000003</v>
      </c>
    </row>
    <row r="76" spans="2:6" ht="6" customHeight="1" hidden="1">
      <c r="B76" s="22"/>
      <c r="C76" s="24"/>
      <c r="D76" s="24"/>
      <c r="E76" s="24"/>
      <c r="F76" s="58"/>
    </row>
    <row r="77" spans="2:6" ht="15" hidden="1">
      <c r="B77" s="22">
        <v>41499</v>
      </c>
      <c r="C77" s="33" t="s">
        <v>16</v>
      </c>
      <c r="D77" s="24"/>
      <c r="E77" s="24"/>
      <c r="F77" s="59">
        <v>-600</v>
      </c>
    </row>
    <row r="78" spans="2:7" ht="15" hidden="1">
      <c r="B78" s="60">
        <v>41621</v>
      </c>
      <c r="C78" s="29" t="s">
        <v>29</v>
      </c>
      <c r="D78" s="29"/>
      <c r="E78" s="29"/>
      <c r="F78" s="61">
        <v>-63</v>
      </c>
      <c r="G78" s="259"/>
    </row>
    <row r="79" spans="2:7" ht="5.25" customHeight="1" hidden="1">
      <c r="B79" s="60"/>
      <c r="C79" s="29"/>
      <c r="D79" s="29"/>
      <c r="E79" s="29"/>
      <c r="F79" s="31"/>
      <c r="G79" s="259"/>
    </row>
    <row r="80" spans="2:7" ht="15" hidden="1">
      <c r="B80" s="60">
        <v>41639</v>
      </c>
      <c r="C80" s="62" t="s">
        <v>2</v>
      </c>
      <c r="D80" s="29"/>
      <c r="E80" s="29"/>
      <c r="F80" s="63">
        <f>SUM(F75:F79)</f>
        <v>1064.1300000000003</v>
      </c>
      <c r="G80" s="259"/>
    </row>
    <row r="81" spans="2:7" ht="6.75" customHeight="1" hidden="1">
      <c r="B81" s="60"/>
      <c r="C81" s="29"/>
      <c r="D81" s="29"/>
      <c r="E81" s="29"/>
      <c r="F81" s="30"/>
      <c r="G81" s="259"/>
    </row>
    <row r="82" spans="2:7" ht="15" hidden="1">
      <c r="B82" s="60">
        <v>41669</v>
      </c>
      <c r="C82" s="29" t="s">
        <v>31</v>
      </c>
      <c r="D82" s="29"/>
      <c r="E82" s="29"/>
      <c r="F82" s="61">
        <v>-88.2</v>
      </c>
      <c r="G82" s="259"/>
    </row>
    <row r="83" spans="2:7" ht="15" hidden="1">
      <c r="B83" s="60">
        <v>41683</v>
      </c>
      <c r="C83" s="29" t="s">
        <v>33</v>
      </c>
      <c r="D83" s="29"/>
      <c r="E83" s="29"/>
      <c r="F83" s="61">
        <v>-16.97</v>
      </c>
      <c r="G83" s="259"/>
    </row>
    <row r="84" spans="2:7" ht="15" hidden="1">
      <c r="B84" s="60">
        <v>41710</v>
      </c>
      <c r="C84" s="29" t="s">
        <v>34</v>
      </c>
      <c r="D84" s="29"/>
      <c r="E84" s="29"/>
      <c r="F84" s="61">
        <v>-91.58</v>
      </c>
      <c r="G84" s="259"/>
    </row>
    <row r="85" spans="2:7" ht="15" hidden="1">
      <c r="B85" s="60">
        <v>41969</v>
      </c>
      <c r="C85" s="29" t="s">
        <v>14</v>
      </c>
      <c r="D85" s="29"/>
      <c r="E85" s="29"/>
      <c r="F85" s="61">
        <v>-88.74</v>
      </c>
      <c r="G85" s="259"/>
    </row>
    <row r="86" spans="2:7" ht="15" customHeight="1" hidden="1">
      <c r="B86" s="60"/>
      <c r="C86" s="29"/>
      <c r="D86" s="29"/>
      <c r="E86" s="29"/>
      <c r="F86" s="61">
        <v>-11.5</v>
      </c>
      <c r="G86" s="259"/>
    </row>
    <row r="87" spans="2:7" ht="9" customHeight="1" hidden="1">
      <c r="B87" s="64"/>
      <c r="C87" s="29"/>
      <c r="D87" s="29"/>
      <c r="E87" s="29"/>
      <c r="F87" s="31"/>
      <c r="G87" s="259"/>
    </row>
    <row r="88" spans="2:7" ht="14.25" customHeight="1" thickBot="1">
      <c r="B88" s="98">
        <v>42004</v>
      </c>
      <c r="C88" s="95" t="s">
        <v>2</v>
      </c>
      <c r="D88" s="95"/>
      <c r="E88" s="95"/>
      <c r="F88" s="85">
        <f>SUM(F80:F87)</f>
        <v>767.1400000000002</v>
      </c>
      <c r="G88" s="259"/>
    </row>
    <row r="89" spans="2:8" s="121" customFormat="1" ht="14.25" customHeight="1">
      <c r="B89" s="126">
        <v>42278</v>
      </c>
      <c r="C89" s="101" t="s">
        <v>55</v>
      </c>
      <c r="D89" s="101"/>
      <c r="E89" s="101"/>
      <c r="F89" s="103">
        <f>-289.38</f>
        <v>-289.38</v>
      </c>
      <c r="G89" s="134"/>
      <c r="H89" s="133"/>
    </row>
    <row r="90" spans="2:7" s="121" customFormat="1" ht="14.25" customHeight="1">
      <c r="B90" s="127">
        <v>42307</v>
      </c>
      <c r="C90" s="117" t="s">
        <v>58</v>
      </c>
      <c r="D90" s="117"/>
      <c r="E90" s="117"/>
      <c r="F90" s="118">
        <f>-68.95</f>
        <v>-68.95</v>
      </c>
      <c r="G90" s="134"/>
    </row>
    <row r="91" spans="2:7" ht="14.25" customHeight="1" thickBot="1">
      <c r="B91" s="128"/>
      <c r="C91" s="105" t="s">
        <v>61</v>
      </c>
      <c r="D91" s="105"/>
      <c r="E91" s="105"/>
      <c r="F91" s="107">
        <f>SUM(F88:F90)</f>
        <v>408.81000000000023</v>
      </c>
      <c r="G91" s="259"/>
    </row>
    <row r="92" spans="2:7" ht="16.5" customHeight="1">
      <c r="B92" s="135"/>
      <c r="C92" s="136" t="s">
        <v>66</v>
      </c>
      <c r="D92" s="137"/>
      <c r="E92" s="137"/>
      <c r="F92" s="138">
        <v>0</v>
      </c>
      <c r="G92" s="259"/>
    </row>
    <row r="93" spans="2:7" ht="16.5" customHeight="1">
      <c r="B93" s="139"/>
      <c r="C93" s="140" t="s">
        <v>64</v>
      </c>
      <c r="D93" s="141"/>
      <c r="E93" s="141"/>
      <c r="F93" s="142">
        <f>F91+F92</f>
        <v>408.81000000000023</v>
      </c>
      <c r="G93" s="259"/>
    </row>
    <row r="94" spans="2:7" ht="16.5" customHeight="1" thickBot="1">
      <c r="B94" s="143"/>
      <c r="C94" s="144"/>
      <c r="D94" s="145"/>
      <c r="E94" s="145"/>
      <c r="F94" s="146"/>
      <c r="G94" s="259"/>
    </row>
    <row r="95" spans="2:7" ht="16.5" customHeight="1">
      <c r="B95" s="84"/>
      <c r="C95" s="23"/>
      <c r="D95" s="23"/>
      <c r="E95" s="23"/>
      <c r="F95" s="23" t="s">
        <v>65</v>
      </c>
      <c r="G95" s="259"/>
    </row>
    <row r="96" spans="2:7" ht="18.75" customHeight="1" thickBot="1">
      <c r="B96" s="13"/>
      <c r="C96" s="12"/>
      <c r="D96" s="12"/>
      <c r="E96" s="12"/>
      <c r="F96" s="14"/>
      <c r="G96" s="259"/>
    </row>
    <row r="97" spans="2:7" ht="20.25" customHeight="1">
      <c r="B97" s="87">
        <v>2003</v>
      </c>
      <c r="C97" s="88" t="s">
        <v>39</v>
      </c>
      <c r="D97" s="88"/>
      <c r="E97" s="88"/>
      <c r="F97" s="89">
        <v>500</v>
      </c>
      <c r="G97" s="259"/>
    </row>
    <row r="98" spans="2:7" ht="4.5" customHeight="1" hidden="1">
      <c r="B98" s="64"/>
      <c r="C98" s="29" t="s">
        <v>40</v>
      </c>
      <c r="D98" s="29"/>
      <c r="E98" s="29"/>
      <c r="F98" s="30">
        <v>0</v>
      </c>
      <c r="G98" s="259"/>
    </row>
    <row r="99" spans="2:7" ht="15" hidden="1">
      <c r="B99" s="64">
        <v>42004</v>
      </c>
      <c r="C99" s="23" t="s">
        <v>2</v>
      </c>
      <c r="D99" s="23"/>
      <c r="E99" s="23"/>
      <c r="F99" s="32">
        <v>500</v>
      </c>
      <c r="G99" s="259"/>
    </row>
    <row r="100" spans="2:7" ht="6.75" customHeight="1" hidden="1">
      <c r="B100" s="64"/>
      <c r="C100" s="29"/>
      <c r="D100" s="29"/>
      <c r="E100" s="29"/>
      <c r="F100" s="30"/>
      <c r="G100" s="259"/>
    </row>
    <row r="101" spans="2:7" ht="15" hidden="1">
      <c r="B101" s="64" t="s">
        <v>42</v>
      </c>
      <c r="C101" s="29" t="s">
        <v>41</v>
      </c>
      <c r="D101" s="29"/>
      <c r="E101" s="29"/>
      <c r="F101" s="30">
        <v>-136.15</v>
      </c>
      <c r="G101" s="259"/>
    </row>
    <row r="102" spans="2:7" ht="15" hidden="1">
      <c r="B102" s="64">
        <v>41653</v>
      </c>
      <c r="C102" s="29" t="s">
        <v>43</v>
      </c>
      <c r="D102" s="29"/>
      <c r="E102" s="29"/>
      <c r="F102" s="30">
        <v>-7.5</v>
      </c>
      <c r="G102" s="259"/>
    </row>
    <row r="103" spans="2:7" ht="15" hidden="1">
      <c r="B103" s="90" t="s">
        <v>42</v>
      </c>
      <c r="C103" s="29" t="s">
        <v>44</v>
      </c>
      <c r="D103" s="29"/>
      <c r="E103" s="29"/>
      <c r="F103" s="30">
        <v>-35.4</v>
      </c>
      <c r="G103" s="259"/>
    </row>
    <row r="104" spans="2:7" ht="0.75" customHeight="1" thickBot="1">
      <c r="B104" s="90"/>
      <c r="C104" s="29"/>
      <c r="D104" s="29"/>
      <c r="E104" s="29"/>
      <c r="F104" s="91"/>
      <c r="G104" s="259"/>
    </row>
    <row r="105" spans="2:7" ht="15.75" hidden="1" thickBot="1">
      <c r="B105" s="98">
        <v>42004</v>
      </c>
      <c r="C105" s="95" t="s">
        <v>2</v>
      </c>
      <c r="D105" s="95"/>
      <c r="E105" s="95"/>
      <c r="F105" s="85">
        <f>SUM(F99:F103)</f>
        <v>320.95000000000005</v>
      </c>
      <c r="G105" s="259"/>
    </row>
    <row r="106" spans="2:12" ht="3" customHeight="1">
      <c r="B106" s="110"/>
      <c r="C106" s="101" t="s">
        <v>54</v>
      </c>
      <c r="D106" s="101"/>
      <c r="E106" s="101"/>
      <c r="F106" s="103">
        <f>-15.2</f>
        <v>-15.2</v>
      </c>
      <c r="G106" s="134"/>
      <c r="L106">
        <f>'[1]begr res  15'!$C$30</f>
        <v>4803.51</v>
      </c>
    </row>
    <row r="107" spans="2:12" ht="15" hidden="1">
      <c r="B107" s="129"/>
      <c r="C107" s="117" t="s">
        <v>56</v>
      </c>
      <c r="D107" s="117"/>
      <c r="E107" s="117"/>
      <c r="F107" s="118">
        <f>-11.9</f>
        <v>-11.9</v>
      </c>
      <c r="G107" s="134"/>
      <c r="I107" s="7" t="s">
        <v>56</v>
      </c>
      <c r="L107">
        <v>4780.2</v>
      </c>
    </row>
    <row r="108" spans="2:12" ht="15" hidden="1">
      <c r="B108" s="119">
        <v>42186</v>
      </c>
      <c r="C108" s="117"/>
      <c r="D108" s="117"/>
      <c r="E108" s="117"/>
      <c r="F108" s="118">
        <f>-23.15</f>
        <v>-23.15</v>
      </c>
      <c r="G108" s="134"/>
      <c r="I108" s="7" t="s">
        <v>59</v>
      </c>
      <c r="L108">
        <f>L106-L107</f>
        <v>23.3100000000004</v>
      </c>
    </row>
    <row r="109" spans="2:9" ht="15" hidden="1">
      <c r="B109" s="119">
        <v>42217</v>
      </c>
      <c r="C109" s="117"/>
      <c r="D109" s="117"/>
      <c r="E109" s="117"/>
      <c r="F109" s="118">
        <f>-10.35</f>
        <v>-10.35</v>
      </c>
      <c r="G109" s="134"/>
      <c r="I109" s="7" t="s">
        <v>56</v>
      </c>
    </row>
    <row r="110" spans="2:7" ht="15" hidden="1">
      <c r="B110" s="119">
        <v>42248</v>
      </c>
      <c r="C110" s="117"/>
      <c r="D110" s="117"/>
      <c r="E110" s="117"/>
      <c r="F110" s="118">
        <f>-10.35</f>
        <v>-10.35</v>
      </c>
      <c r="G110" s="134"/>
    </row>
    <row r="111" spans="1:7" ht="15" hidden="1">
      <c r="A111" s="120"/>
      <c r="B111" s="119">
        <v>42278</v>
      </c>
      <c r="C111" s="117"/>
      <c r="D111" s="117"/>
      <c r="E111" s="117"/>
      <c r="F111" s="118">
        <f>-10.35</f>
        <v>-10.35</v>
      </c>
      <c r="G111" s="134"/>
    </row>
    <row r="112" spans="1:7" ht="15" hidden="1">
      <c r="A112" s="120"/>
      <c r="B112" s="119"/>
      <c r="C112" s="117"/>
      <c r="D112" s="117"/>
      <c r="E112" s="117"/>
      <c r="F112" s="118"/>
      <c r="G112" s="259"/>
    </row>
    <row r="113" spans="2:7" ht="15.75" hidden="1" thickBot="1">
      <c r="B113" s="111"/>
      <c r="C113" s="105" t="s">
        <v>53</v>
      </c>
      <c r="D113" s="105"/>
      <c r="E113" s="105"/>
      <c r="F113" s="112">
        <f>SUM(F105:F112)</f>
        <v>239.6500000000001</v>
      </c>
      <c r="G113" s="259"/>
    </row>
    <row r="114" spans="2:7" ht="15" hidden="1">
      <c r="B114" s="130" t="s">
        <v>57</v>
      </c>
      <c r="C114" s="117"/>
      <c r="D114" s="117"/>
      <c r="E114" s="117"/>
      <c r="F114" s="131">
        <f>-9.82</f>
        <v>-9.82</v>
      </c>
      <c r="G114" s="134"/>
    </row>
    <row r="115" spans="2:7" ht="15" hidden="1">
      <c r="B115" s="130" t="s">
        <v>57</v>
      </c>
      <c r="C115" s="117"/>
      <c r="D115" s="117"/>
      <c r="E115" s="117"/>
      <c r="F115" s="131">
        <f>-0.67</f>
        <v>-0.67</v>
      </c>
      <c r="G115" s="134"/>
    </row>
    <row r="116" spans="2:8" ht="15" hidden="1">
      <c r="B116" s="130"/>
      <c r="C116" s="117"/>
      <c r="D116" s="117"/>
      <c r="E116" s="117"/>
      <c r="F116" s="131">
        <f>-10.21</f>
        <v>-10.21</v>
      </c>
      <c r="G116" s="134"/>
      <c r="H116" s="260"/>
    </row>
    <row r="117" spans="2:8" ht="15.75" thickBot="1">
      <c r="B117" s="130"/>
      <c r="C117" s="117" t="s">
        <v>60</v>
      </c>
      <c r="D117" s="117"/>
      <c r="E117" s="117"/>
      <c r="F117" s="131">
        <f>SUM(F113:F116)</f>
        <v>218.9500000000001</v>
      </c>
      <c r="G117" s="259"/>
      <c r="H117" s="133"/>
    </row>
    <row r="118" spans="2:8" ht="15">
      <c r="B118" s="152">
        <v>42376</v>
      </c>
      <c r="C118" s="153" t="s">
        <v>67</v>
      </c>
      <c r="D118" s="154"/>
      <c r="E118" s="154"/>
      <c r="F118" s="155">
        <v>-10.35</v>
      </c>
      <c r="G118" s="259"/>
      <c r="H118" s="133"/>
    </row>
    <row r="119" spans="2:8" ht="15">
      <c r="B119" s="156">
        <v>42403</v>
      </c>
      <c r="C119" s="157" t="str">
        <f>C118</f>
        <v>bankkosten</v>
      </c>
      <c r="D119" s="157"/>
      <c r="E119" s="157"/>
      <c r="F119" s="158">
        <v>-10.65</v>
      </c>
      <c r="G119" s="259"/>
      <c r="H119" s="133"/>
    </row>
    <row r="120" spans="2:8" ht="15">
      <c r="B120" s="156">
        <v>42432</v>
      </c>
      <c r="C120" s="157" t="str">
        <f>C119</f>
        <v>bankkosten</v>
      </c>
      <c r="D120" s="157"/>
      <c r="E120" s="157"/>
      <c r="F120" s="158">
        <f>F119</f>
        <v>-10.65</v>
      </c>
      <c r="G120" s="259"/>
      <c r="H120" s="133"/>
    </row>
    <row r="121" spans="2:8" ht="15">
      <c r="B121" s="156">
        <v>42465</v>
      </c>
      <c r="C121" s="157" t="str">
        <f>C120</f>
        <v>bankkosten</v>
      </c>
      <c r="D121" s="157"/>
      <c r="E121" s="157"/>
      <c r="F121" s="158">
        <f>F120</f>
        <v>-10.65</v>
      </c>
      <c r="G121" s="259"/>
      <c r="H121" s="133"/>
    </row>
    <row r="122" spans="2:8" ht="15">
      <c r="B122" s="156">
        <v>42493</v>
      </c>
      <c r="C122" s="157" t="str">
        <f>C121</f>
        <v>bankkosten</v>
      </c>
      <c r="D122" s="157"/>
      <c r="E122" s="157"/>
      <c r="F122" s="158">
        <f>F121</f>
        <v>-10.65</v>
      </c>
      <c r="G122" s="259"/>
      <c r="H122" s="133"/>
    </row>
    <row r="123" spans="2:8" ht="15" thickBot="1">
      <c r="B123" s="159"/>
      <c r="C123" s="157"/>
      <c r="D123" s="157"/>
      <c r="E123" s="157"/>
      <c r="F123" s="158"/>
      <c r="G123" s="259"/>
      <c r="H123" s="133"/>
    </row>
    <row r="124" spans="2:8" ht="15.75" thickBot="1">
      <c r="B124" s="160"/>
      <c r="C124" s="161" t="s">
        <v>68</v>
      </c>
      <c r="D124" s="161"/>
      <c r="E124" s="161"/>
      <c r="F124" s="162">
        <f>SUM(F117:F123)</f>
        <v>166.00000000000009</v>
      </c>
      <c r="G124" s="259"/>
      <c r="H124" s="133"/>
    </row>
    <row r="125" spans="2:8" ht="15" thickBot="1">
      <c r="B125" s="12"/>
      <c r="C125" s="12"/>
      <c r="D125" s="12"/>
      <c r="E125" s="12"/>
      <c r="F125" s="12"/>
      <c r="G125" s="259"/>
      <c r="H125" s="133"/>
    </row>
    <row r="126" spans="2:7" ht="15">
      <c r="B126" s="92">
        <v>41687</v>
      </c>
      <c r="C126" s="88" t="s">
        <v>45</v>
      </c>
      <c r="D126" s="88"/>
      <c r="E126" s="88"/>
      <c r="F126" s="89">
        <v>1000</v>
      </c>
      <c r="G126" s="259"/>
    </row>
    <row r="127" spans="2:7" ht="15">
      <c r="B127" s="90"/>
      <c r="C127" s="29" t="s">
        <v>46</v>
      </c>
      <c r="D127" s="29"/>
      <c r="E127" s="29"/>
      <c r="F127" s="30">
        <v>1084</v>
      </c>
      <c r="G127" s="259"/>
    </row>
    <row r="128" spans="2:6" ht="15">
      <c r="B128" s="26"/>
      <c r="C128" s="29" t="s">
        <v>47</v>
      </c>
      <c r="D128" s="24"/>
      <c r="E128" s="24"/>
      <c r="F128" s="30">
        <v>0</v>
      </c>
    </row>
    <row r="129" spans="2:6" ht="15">
      <c r="B129" s="26"/>
      <c r="C129" s="29"/>
      <c r="D129" s="24"/>
      <c r="E129" s="24"/>
      <c r="F129" s="30"/>
    </row>
    <row r="130" spans="2:6" ht="15.75" thickBot="1">
      <c r="B130" s="98">
        <v>42004</v>
      </c>
      <c r="C130" s="95" t="s">
        <v>2</v>
      </c>
      <c r="D130" s="99"/>
      <c r="E130" s="99"/>
      <c r="F130" s="85">
        <f>SUM(F126:F129)</f>
        <v>2084</v>
      </c>
    </row>
    <row r="131" spans="2:6" ht="15.75" thickBot="1">
      <c r="B131" s="109">
        <v>2015</v>
      </c>
      <c r="C131" s="117" t="s">
        <v>62</v>
      </c>
      <c r="D131" s="109"/>
      <c r="E131" s="109"/>
      <c r="F131" s="118">
        <v>0</v>
      </c>
    </row>
    <row r="132" spans="2:6" ht="15.75" thickBot="1">
      <c r="B132" s="110"/>
      <c r="C132" s="101" t="s">
        <v>61</v>
      </c>
      <c r="D132" s="101"/>
      <c r="E132" s="101"/>
      <c r="F132" s="166">
        <f>F130+F131</f>
        <v>2084</v>
      </c>
    </row>
    <row r="133" spans="2:6" ht="13.5" thickBot="1">
      <c r="B133" s="167">
        <v>2016</v>
      </c>
      <c r="C133" s="168" t="s">
        <v>125</v>
      </c>
      <c r="D133" s="169"/>
      <c r="E133" s="169"/>
      <c r="F133" s="170">
        <v>0</v>
      </c>
    </row>
    <row r="134" spans="2:6" ht="15.75" thickBot="1">
      <c r="B134" s="163"/>
      <c r="C134" s="164" t="s">
        <v>68</v>
      </c>
      <c r="D134" s="164"/>
      <c r="E134" s="164"/>
      <c r="F134" s="165">
        <f>F132+F133</f>
        <v>2084</v>
      </c>
    </row>
    <row r="135" ht="12.75">
      <c r="F135" s="7"/>
    </row>
  </sheetData>
  <sheetProtection/>
  <printOptions/>
  <pageMargins left="0.7874015748031497" right="0.7874015748031497" top="0.3937007874015748" bottom="0.3937007874015748" header="0" footer="0"/>
  <pageSetup fitToHeight="1" fitToWidth="1" horizontalDpi="300" verticalDpi="300" orientation="portrait" paperSize="9" scale="63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7"/>
  <sheetViews>
    <sheetView zoomScalePageLayoutView="0" workbookViewId="0" topLeftCell="A61">
      <selection activeCell="H97" sqref="H97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9" max="9" width="18.57421875" style="0" customWidth="1"/>
  </cols>
  <sheetData>
    <row r="1" spans="2:8" ht="21">
      <c r="B1" s="171" t="s">
        <v>635</v>
      </c>
      <c r="G1" s="150"/>
      <c r="H1" s="150"/>
    </row>
    <row r="2" spans="2:8" ht="17.25">
      <c r="B2" s="287">
        <f>'31 dec 2022'!C4</f>
        <v>44926</v>
      </c>
      <c r="G2" s="150"/>
      <c r="H2" s="150"/>
    </row>
    <row r="3" spans="7:8" ht="12.75">
      <c r="G3" s="150"/>
      <c r="H3" s="150"/>
    </row>
    <row r="4" spans="7:8" ht="13.5" thickBot="1">
      <c r="G4" s="150"/>
      <c r="H4" s="150"/>
    </row>
    <row r="5" spans="1:8" ht="15">
      <c r="A5" s="121"/>
      <c r="B5" s="432" t="s">
        <v>600</v>
      </c>
      <c r="C5" s="177"/>
      <c r="D5" s="177"/>
      <c r="E5" s="222" t="s">
        <v>112</v>
      </c>
      <c r="F5" s="433"/>
      <c r="G5" s="150"/>
      <c r="H5" s="150"/>
    </row>
    <row r="6" spans="2:9" ht="0" customHeight="1" hidden="1" thickBot="1">
      <c r="B6" s="755">
        <v>44196</v>
      </c>
      <c r="C6" s="756" t="s">
        <v>2</v>
      </c>
      <c r="D6" s="756"/>
      <c r="E6" s="757"/>
      <c r="F6" s="758">
        <v>0.1</v>
      </c>
      <c r="G6" s="150"/>
      <c r="H6" s="150"/>
      <c r="I6" s="235"/>
    </row>
    <row r="7" spans="2:9" ht="15" hidden="1">
      <c r="B7" s="437"/>
      <c r="C7" s="191" t="s">
        <v>590</v>
      </c>
      <c r="D7" s="191"/>
      <c r="E7" s="186"/>
      <c r="F7" s="240"/>
      <c r="G7" s="150"/>
      <c r="H7" s="150"/>
      <c r="I7" s="235"/>
    </row>
    <row r="8" spans="2:9" ht="15" hidden="1">
      <c r="B8" s="437">
        <v>44201</v>
      </c>
      <c r="C8" s="191" t="s">
        <v>67</v>
      </c>
      <c r="D8" s="191"/>
      <c r="E8" s="186"/>
      <c r="F8" s="240">
        <v>-9.95</v>
      </c>
      <c r="G8" s="150"/>
      <c r="H8" s="150" t="s">
        <v>376</v>
      </c>
      <c r="I8" s="235"/>
    </row>
    <row r="9" spans="2:9" ht="15" hidden="1">
      <c r="B9" s="437">
        <v>44230</v>
      </c>
      <c r="C9" s="191" t="s">
        <v>67</v>
      </c>
      <c r="D9" s="191"/>
      <c r="E9" s="186"/>
      <c r="F9" s="240">
        <v>-9.95</v>
      </c>
      <c r="G9" s="150"/>
      <c r="H9" s="150" t="s">
        <v>376</v>
      </c>
      <c r="I9" s="235"/>
    </row>
    <row r="10" spans="2:9" ht="15" hidden="1">
      <c r="B10" s="437">
        <v>44257</v>
      </c>
      <c r="C10" s="191" t="s">
        <v>67</v>
      </c>
      <c r="D10" s="191"/>
      <c r="E10" s="186"/>
      <c r="F10" s="240">
        <v>-9.95</v>
      </c>
      <c r="G10" s="150"/>
      <c r="H10" s="150" t="s">
        <v>376</v>
      </c>
      <c r="I10" s="235"/>
    </row>
    <row r="11" spans="2:9" ht="0.75" customHeight="1" hidden="1">
      <c r="B11" s="437">
        <v>44288</v>
      </c>
      <c r="C11" s="191" t="s">
        <v>67</v>
      </c>
      <c r="D11" s="191"/>
      <c r="E11" s="186"/>
      <c r="F11" s="240">
        <v>-9.95</v>
      </c>
      <c r="G11" s="150"/>
      <c r="H11" s="150" t="s">
        <v>376</v>
      </c>
      <c r="I11" s="235"/>
    </row>
    <row r="12" spans="2:9" ht="15" hidden="1">
      <c r="B12" s="437">
        <v>44320</v>
      </c>
      <c r="C12" s="191" t="s">
        <v>67</v>
      </c>
      <c r="D12" s="191"/>
      <c r="E12" s="186"/>
      <c r="F12" s="240">
        <v>-9.95</v>
      </c>
      <c r="G12" s="150"/>
      <c r="H12" s="150" t="s">
        <v>376</v>
      </c>
      <c r="I12" s="235"/>
    </row>
    <row r="13" spans="2:9" ht="15" hidden="1">
      <c r="B13" s="437">
        <v>44349</v>
      </c>
      <c r="C13" s="191" t="s">
        <v>67</v>
      </c>
      <c r="D13" s="191"/>
      <c r="E13" s="186"/>
      <c r="F13" s="240">
        <f>-9.95</f>
        <v>-9.95</v>
      </c>
      <c r="G13" s="150"/>
      <c r="H13" s="150" t="s">
        <v>376</v>
      </c>
      <c r="I13" s="235"/>
    </row>
    <row r="14" spans="2:9" ht="15" hidden="1">
      <c r="B14" s="437">
        <v>44379</v>
      </c>
      <c r="C14" s="191" t="s">
        <v>67</v>
      </c>
      <c r="D14" s="191"/>
      <c r="E14" s="186"/>
      <c r="F14" s="240">
        <v>-9.95</v>
      </c>
      <c r="G14" s="150"/>
      <c r="H14" s="150" t="s">
        <v>376</v>
      </c>
      <c r="I14" s="235"/>
    </row>
    <row r="15" spans="2:9" ht="15" hidden="1">
      <c r="B15" s="437">
        <v>44413</v>
      </c>
      <c r="C15" s="191" t="s">
        <v>67</v>
      </c>
      <c r="D15" s="191"/>
      <c r="E15" s="186"/>
      <c r="F15" s="240">
        <v>-9.95</v>
      </c>
      <c r="G15" s="150"/>
      <c r="H15" s="150" t="s">
        <v>376</v>
      </c>
      <c r="I15" s="235"/>
    </row>
    <row r="16" spans="2:9" ht="15" hidden="1">
      <c r="B16" s="437">
        <v>44441</v>
      </c>
      <c r="C16" s="191" t="s">
        <v>67</v>
      </c>
      <c r="D16" s="191"/>
      <c r="E16" s="186"/>
      <c r="F16" s="240">
        <v>-9.95</v>
      </c>
      <c r="G16" s="150"/>
      <c r="H16" s="150" t="s">
        <v>376</v>
      </c>
      <c r="I16" s="235"/>
    </row>
    <row r="17" spans="2:9" ht="15" hidden="1">
      <c r="B17" s="437">
        <v>44471</v>
      </c>
      <c r="C17" s="191" t="s">
        <v>615</v>
      </c>
      <c r="D17" s="191"/>
      <c r="E17" s="186"/>
      <c r="F17" s="240">
        <v>-9.95</v>
      </c>
      <c r="G17" s="150"/>
      <c r="H17" s="150" t="s">
        <v>376</v>
      </c>
      <c r="I17" s="235"/>
    </row>
    <row r="18" spans="2:9" ht="15" hidden="1">
      <c r="B18" s="437">
        <v>44502</v>
      </c>
      <c r="C18" s="191" t="s">
        <v>67</v>
      </c>
      <c r="D18" s="191"/>
      <c r="E18" s="186"/>
      <c r="F18" s="240">
        <v>-9.95</v>
      </c>
      <c r="G18" s="150"/>
      <c r="H18" s="150" t="s">
        <v>376</v>
      </c>
      <c r="I18" s="235"/>
    </row>
    <row r="19" spans="2:9" ht="15" hidden="1">
      <c r="B19" s="437">
        <v>44532</v>
      </c>
      <c r="C19" s="191" t="s">
        <v>67</v>
      </c>
      <c r="D19" s="191"/>
      <c r="E19" s="186"/>
      <c r="F19" s="240">
        <v>-9.95</v>
      </c>
      <c r="G19" s="150"/>
      <c r="H19" s="150" t="s">
        <v>376</v>
      </c>
      <c r="I19" s="235"/>
    </row>
    <row r="20" spans="2:9" ht="15.75" hidden="1" thickBot="1">
      <c r="B20" s="668"/>
      <c r="C20" s="669" t="s">
        <v>589</v>
      </c>
      <c r="D20" s="831"/>
      <c r="E20" s="670"/>
      <c r="F20" s="671">
        <f>SUM(F8:F19)</f>
        <v>-119.40000000000002</v>
      </c>
      <c r="G20" s="150"/>
      <c r="H20" s="150"/>
      <c r="I20" s="235"/>
    </row>
    <row r="21" spans="2:9" ht="15" hidden="1">
      <c r="B21" s="437"/>
      <c r="C21" s="191" t="s">
        <v>591</v>
      </c>
      <c r="D21" s="191"/>
      <c r="E21" s="186"/>
      <c r="F21" s="833"/>
      <c r="G21" s="150"/>
      <c r="H21" s="150"/>
      <c r="I21" s="235"/>
    </row>
    <row r="22" spans="2:9" ht="15" hidden="1">
      <c r="B22" s="437">
        <v>44280</v>
      </c>
      <c r="C22" s="191" t="s">
        <v>598</v>
      </c>
      <c r="D22" s="191"/>
      <c r="E22" s="186"/>
      <c r="F22" s="850">
        <v>200</v>
      </c>
      <c r="G22" s="150"/>
      <c r="H22" s="261" t="s">
        <v>509</v>
      </c>
      <c r="I22" s="890" t="s">
        <v>628</v>
      </c>
    </row>
    <row r="23" spans="2:9" ht="20.25" customHeight="1" hidden="1">
      <c r="B23" s="759"/>
      <c r="C23" s="753" t="s">
        <v>592</v>
      </c>
      <c r="D23" s="753"/>
      <c r="E23" s="754"/>
      <c r="F23" s="851">
        <f>SUM(F21:F22)</f>
        <v>200</v>
      </c>
      <c r="G23" s="150"/>
      <c r="H23" s="150"/>
      <c r="I23" s="235"/>
    </row>
    <row r="24" spans="2:9" ht="15.75" thickBot="1">
      <c r="B24" s="111">
        <v>44561</v>
      </c>
      <c r="C24" s="105" t="s">
        <v>2</v>
      </c>
      <c r="D24" s="105"/>
      <c r="E24" s="572"/>
      <c r="F24" s="112">
        <f>F6+F20+F23</f>
        <v>80.69999999999997</v>
      </c>
      <c r="G24" s="150"/>
      <c r="H24" s="150"/>
      <c r="I24" s="235"/>
    </row>
    <row r="25" spans="2:9" ht="15">
      <c r="B25" s="665"/>
      <c r="C25" s="666" t="s">
        <v>636</v>
      </c>
      <c r="D25" s="666"/>
      <c r="E25" s="667"/>
      <c r="F25" s="507"/>
      <c r="G25" s="150"/>
      <c r="H25" s="150"/>
      <c r="I25" s="235"/>
    </row>
    <row r="26" spans="2:9" ht="15">
      <c r="B26" s="437" t="s">
        <v>637</v>
      </c>
      <c r="C26" s="191" t="s">
        <v>67</v>
      </c>
      <c r="D26" s="191"/>
      <c r="E26" s="186"/>
      <c r="F26" s="240">
        <v>-9.95</v>
      </c>
      <c r="G26" s="150"/>
      <c r="H26" s="141" t="s">
        <v>376</v>
      </c>
      <c r="I26" s="235"/>
    </row>
    <row r="27" spans="2:9" ht="15">
      <c r="B27" s="437">
        <v>44580</v>
      </c>
      <c r="C27" s="191" t="s">
        <v>644</v>
      </c>
      <c r="D27" s="191"/>
      <c r="E27" s="186"/>
      <c r="F27" s="240">
        <v>-0.01</v>
      </c>
      <c r="G27" s="150"/>
      <c r="H27" s="141" t="s">
        <v>376</v>
      </c>
      <c r="I27" s="235"/>
    </row>
    <row r="28" spans="2:9" ht="15">
      <c r="B28" s="437">
        <v>44594</v>
      </c>
      <c r="C28" s="191" t="s">
        <v>67</v>
      </c>
      <c r="D28" s="191"/>
      <c r="E28" s="186"/>
      <c r="F28" s="240">
        <v>-9.95</v>
      </c>
      <c r="G28" s="150"/>
      <c r="H28" s="141" t="s">
        <v>376</v>
      </c>
      <c r="I28" s="235"/>
    </row>
    <row r="29" spans="2:9" ht="15">
      <c r="B29" s="437">
        <v>44622</v>
      </c>
      <c r="C29" s="191" t="s">
        <v>67</v>
      </c>
      <c r="D29" s="191"/>
      <c r="E29" s="186"/>
      <c r="F29" s="240">
        <v>-9.95</v>
      </c>
      <c r="G29" s="150"/>
      <c r="H29" s="141" t="s">
        <v>376</v>
      </c>
      <c r="I29" s="235"/>
    </row>
    <row r="30" spans="2:9" ht="15">
      <c r="B30" s="437">
        <v>44654</v>
      </c>
      <c r="C30" s="191" t="s">
        <v>67</v>
      </c>
      <c r="D30" s="191"/>
      <c r="E30" s="186"/>
      <c r="F30" s="240">
        <v>-9.95</v>
      </c>
      <c r="G30" s="150"/>
      <c r="H30" s="141" t="s">
        <v>376</v>
      </c>
      <c r="I30" s="235"/>
    </row>
    <row r="31" spans="2:9" ht="15">
      <c r="B31" s="437">
        <v>44684</v>
      </c>
      <c r="C31" s="191" t="s">
        <v>67</v>
      </c>
      <c r="D31" s="191"/>
      <c r="E31" s="186"/>
      <c r="F31" s="240">
        <v>-9.95</v>
      </c>
      <c r="G31" s="150"/>
      <c r="H31" s="141" t="s">
        <v>376</v>
      </c>
      <c r="I31" s="235"/>
    </row>
    <row r="32" spans="2:9" ht="15">
      <c r="B32" s="437">
        <v>44714</v>
      </c>
      <c r="C32" s="191" t="s">
        <v>67</v>
      </c>
      <c r="D32" s="191"/>
      <c r="E32" s="186"/>
      <c r="F32" s="240">
        <v>-9.95</v>
      </c>
      <c r="G32" s="150"/>
      <c r="H32" s="141" t="s">
        <v>376</v>
      </c>
      <c r="I32" s="235"/>
    </row>
    <row r="33" spans="2:9" ht="15">
      <c r="B33" s="437">
        <v>44744</v>
      </c>
      <c r="C33" s="191" t="s">
        <v>67</v>
      </c>
      <c r="D33" s="191"/>
      <c r="E33" s="186"/>
      <c r="F33" s="240">
        <v>-9.95</v>
      </c>
      <c r="G33" s="150"/>
      <c r="H33" s="141" t="s">
        <v>376</v>
      </c>
      <c r="I33" s="235"/>
    </row>
    <row r="34" spans="2:9" ht="15">
      <c r="B34" s="437">
        <v>44781</v>
      </c>
      <c r="C34" s="191" t="s">
        <v>67</v>
      </c>
      <c r="D34" s="191"/>
      <c r="E34" s="186"/>
      <c r="F34" s="240">
        <v>-9.95</v>
      </c>
      <c r="G34" s="150"/>
      <c r="H34" s="141" t="s">
        <v>376</v>
      </c>
      <c r="I34" s="235"/>
    </row>
    <row r="35" spans="2:9" ht="15">
      <c r="B35" s="437">
        <v>44806</v>
      </c>
      <c r="C35" s="191" t="s">
        <v>67</v>
      </c>
      <c r="D35" s="191"/>
      <c r="E35" s="186"/>
      <c r="F35" s="240">
        <v>-9.95</v>
      </c>
      <c r="G35" s="150"/>
      <c r="H35" s="141" t="s">
        <v>376</v>
      </c>
      <c r="I35" s="235"/>
    </row>
    <row r="36" spans="2:9" ht="15">
      <c r="B36" s="437">
        <v>44837</v>
      </c>
      <c r="C36" s="191" t="s">
        <v>67</v>
      </c>
      <c r="D36" s="191"/>
      <c r="E36" s="186"/>
      <c r="F36" s="240">
        <v>-9.95</v>
      </c>
      <c r="G36" s="150"/>
      <c r="H36" s="141" t="s">
        <v>376</v>
      </c>
      <c r="I36" s="235"/>
    </row>
    <row r="37" spans="2:9" ht="15">
      <c r="B37" s="437">
        <v>44867</v>
      </c>
      <c r="C37" s="191" t="s">
        <v>67</v>
      </c>
      <c r="D37" s="191"/>
      <c r="E37" s="186"/>
      <c r="F37" s="240">
        <v>-9.95</v>
      </c>
      <c r="G37" s="150"/>
      <c r="H37" s="141" t="s">
        <v>376</v>
      </c>
      <c r="I37" s="235"/>
    </row>
    <row r="38" spans="2:9" ht="15">
      <c r="B38" s="437">
        <v>44897</v>
      </c>
      <c r="C38" s="191" t="s">
        <v>67</v>
      </c>
      <c r="D38" s="191"/>
      <c r="E38" s="186"/>
      <c r="F38" s="240">
        <v>-9.95</v>
      </c>
      <c r="G38" s="150"/>
      <c r="H38" s="141" t="s">
        <v>376</v>
      </c>
      <c r="I38" s="235"/>
    </row>
    <row r="39" spans="2:9" ht="15">
      <c r="B39" s="759"/>
      <c r="C39" s="752" t="s">
        <v>638</v>
      </c>
      <c r="D39" s="752"/>
      <c r="E39" s="752"/>
      <c r="F39" s="760">
        <f>SUM(F26:F38)</f>
        <v>-119.41000000000001</v>
      </c>
      <c r="G39" s="150"/>
      <c r="H39" s="150"/>
      <c r="I39" s="235"/>
    </row>
    <row r="40" spans="2:9" ht="15">
      <c r="B40" s="437"/>
      <c r="C40" s="191" t="s">
        <v>639</v>
      </c>
      <c r="D40" s="191"/>
      <c r="E40" s="186"/>
      <c r="F40" s="240"/>
      <c r="G40" s="150"/>
      <c r="H40" s="150"/>
      <c r="I40" s="235"/>
    </row>
    <row r="41" spans="2:9" ht="15">
      <c r="B41" s="437"/>
      <c r="C41" s="191"/>
      <c r="D41" s="191"/>
      <c r="E41" s="186"/>
      <c r="F41" s="240"/>
      <c r="G41" s="150"/>
      <c r="H41" s="150"/>
      <c r="I41" s="235"/>
    </row>
    <row r="42" spans="2:9" s="150" customFormat="1" ht="15">
      <c r="B42" s="891"/>
      <c r="C42" s="753" t="s">
        <v>640</v>
      </c>
      <c r="D42" s="753"/>
      <c r="E42" s="753"/>
      <c r="F42" s="851">
        <f>SUM(F41)</f>
        <v>0</v>
      </c>
      <c r="I42" s="235"/>
    </row>
    <row r="43" spans="2:9" s="150" customFormat="1" ht="15.75" thickBot="1">
      <c r="B43" s="111">
        <f>B2</f>
        <v>44926</v>
      </c>
      <c r="C43" s="105" t="s">
        <v>2</v>
      </c>
      <c r="D43" s="105"/>
      <c r="E43" s="572"/>
      <c r="F43" s="112">
        <f>F24+F39+F42</f>
        <v>-38.710000000000036</v>
      </c>
      <c r="I43" s="252"/>
    </row>
    <row r="44" spans="2:9" s="24" customFormat="1" ht="15">
      <c r="B44" s="473"/>
      <c r="C44" s="149"/>
      <c r="D44" s="149"/>
      <c r="E44" s="698"/>
      <c r="F44" s="227"/>
      <c r="G44" s="150"/>
      <c r="H44" s="150"/>
      <c r="I44" s="252"/>
    </row>
    <row r="45" spans="2:9" ht="12.75">
      <c r="B45" s="219" t="s">
        <v>131</v>
      </c>
      <c r="C45" s="371"/>
      <c r="D45" s="371"/>
      <c r="E45" s="371"/>
      <c r="F45" s="673"/>
      <c r="G45" s="150"/>
      <c r="H45" s="150"/>
      <c r="I45" s="235"/>
    </row>
    <row r="46" spans="2:9" ht="15" customHeight="1" thickBot="1">
      <c r="B46" s="838" t="s">
        <v>83</v>
      </c>
      <c r="C46" s="839"/>
      <c r="D46" s="183"/>
      <c r="E46" s="840" t="s">
        <v>115</v>
      </c>
      <c r="F46" s="199"/>
      <c r="G46" s="150"/>
      <c r="H46" s="150"/>
      <c r="I46" s="235"/>
    </row>
    <row r="47" spans="1:8" ht="15.75" hidden="1" thickBot="1">
      <c r="A47" s="121"/>
      <c r="B47" s="111">
        <v>44196</v>
      </c>
      <c r="C47" s="105" t="s">
        <v>2</v>
      </c>
      <c r="D47" s="105"/>
      <c r="E47" s="572"/>
      <c r="F47" s="112">
        <v>12999.53</v>
      </c>
      <c r="G47" s="150"/>
      <c r="H47" s="150">
        <v>12999.53</v>
      </c>
    </row>
    <row r="48" spans="1:8" ht="15" hidden="1">
      <c r="A48" s="121"/>
      <c r="B48" s="437"/>
      <c r="C48" s="191" t="s">
        <v>590</v>
      </c>
      <c r="D48" s="191"/>
      <c r="E48" s="186"/>
      <c r="F48" s="240"/>
      <c r="G48" s="150"/>
      <c r="H48" s="150"/>
    </row>
    <row r="49" spans="1:9" ht="15" hidden="1">
      <c r="A49" s="121"/>
      <c r="B49" s="437" t="s">
        <v>604</v>
      </c>
      <c r="C49" s="191" t="s">
        <v>605</v>
      </c>
      <c r="D49" s="191"/>
      <c r="E49" s="186"/>
      <c r="F49" s="240">
        <v>-10</v>
      </c>
      <c r="G49" s="150"/>
      <c r="H49" s="224" t="s">
        <v>376</v>
      </c>
      <c r="I49" s="224" t="s">
        <v>606</v>
      </c>
    </row>
    <row r="50" spans="1:9" ht="15" hidden="1">
      <c r="A50" s="121"/>
      <c r="B50" s="437">
        <v>44438</v>
      </c>
      <c r="C50" s="191" t="s">
        <v>620</v>
      </c>
      <c r="D50" s="191"/>
      <c r="E50" s="186"/>
      <c r="F50" s="240">
        <v>-290.4</v>
      </c>
      <c r="G50" s="150"/>
      <c r="H50" s="889" t="s">
        <v>634</v>
      </c>
      <c r="I50" s="121"/>
    </row>
    <row r="51" spans="1:8" ht="15" hidden="1">
      <c r="A51" s="121"/>
      <c r="B51" s="437">
        <v>44471</v>
      </c>
      <c r="C51" s="191" t="s">
        <v>617</v>
      </c>
      <c r="D51" s="191"/>
      <c r="E51" s="186"/>
      <c r="F51" s="240">
        <v>-362.15</v>
      </c>
      <c r="G51" s="150"/>
      <c r="H51" s="889" t="s">
        <v>634</v>
      </c>
    </row>
    <row r="52" spans="1:8" ht="15" hidden="1">
      <c r="A52" s="121"/>
      <c r="B52" s="437" t="s">
        <v>618</v>
      </c>
      <c r="C52" s="191" t="s">
        <v>619</v>
      </c>
      <c r="D52" s="191"/>
      <c r="E52" s="186"/>
      <c r="F52" s="240">
        <v>-226.86</v>
      </c>
      <c r="G52" s="150"/>
      <c r="H52" s="889" t="s">
        <v>634</v>
      </c>
    </row>
    <row r="53" spans="1:8" ht="15.75" hidden="1" thickBot="1">
      <c r="A53" s="121"/>
      <c r="B53" s="668"/>
      <c r="C53" s="669" t="s">
        <v>589</v>
      </c>
      <c r="D53" s="831"/>
      <c r="E53" s="670"/>
      <c r="F53" s="832">
        <f>SUM(F49:F52)</f>
        <v>-889.41</v>
      </c>
      <c r="G53" s="150"/>
      <c r="H53" s="150"/>
    </row>
    <row r="54" spans="1:8" ht="15" hidden="1">
      <c r="A54" s="121"/>
      <c r="B54" s="665"/>
      <c r="C54" s="666" t="s">
        <v>591</v>
      </c>
      <c r="D54" s="666"/>
      <c r="E54" s="667"/>
      <c r="F54" s="841"/>
      <c r="G54" s="150"/>
      <c r="H54" s="150"/>
    </row>
    <row r="55" spans="1:8" ht="15" hidden="1">
      <c r="A55" s="121"/>
      <c r="B55" s="437">
        <v>44197</v>
      </c>
      <c r="C55" s="191" t="s">
        <v>59</v>
      </c>
      <c r="D55" s="191"/>
      <c r="E55" s="186"/>
      <c r="F55" s="833">
        <v>1.53</v>
      </c>
      <c r="G55" s="150"/>
      <c r="H55" s="150" t="s">
        <v>376</v>
      </c>
    </row>
    <row r="56" spans="1:9" ht="15" hidden="1">
      <c r="A56" s="121"/>
      <c r="B56" s="437">
        <v>44312</v>
      </c>
      <c r="C56" s="191" t="s">
        <v>603</v>
      </c>
      <c r="D56" s="191"/>
      <c r="E56" s="186"/>
      <c r="F56" s="833">
        <v>10</v>
      </c>
      <c r="G56" s="150"/>
      <c r="H56" s="224" t="s">
        <v>376</v>
      </c>
      <c r="I56" s="224" t="s">
        <v>334</v>
      </c>
    </row>
    <row r="57" spans="1:8" ht="15" hidden="1">
      <c r="A57" s="121"/>
      <c r="B57" s="437"/>
      <c r="C57" s="191"/>
      <c r="D57" s="191"/>
      <c r="E57" s="186"/>
      <c r="F57" s="833"/>
      <c r="G57" s="150"/>
      <c r="H57" s="150"/>
    </row>
    <row r="58" spans="1:8" ht="15" hidden="1">
      <c r="A58" s="121"/>
      <c r="B58" s="759"/>
      <c r="C58" s="753" t="s">
        <v>592</v>
      </c>
      <c r="D58" s="753"/>
      <c r="E58" s="754"/>
      <c r="F58" s="851">
        <f>SUM(F55:F57)</f>
        <v>11.53</v>
      </c>
      <c r="G58" s="150"/>
      <c r="H58" s="150"/>
    </row>
    <row r="59" spans="1:8" ht="15.75" thickBot="1">
      <c r="A59" s="121"/>
      <c r="B59" s="111">
        <v>44561</v>
      </c>
      <c r="C59" s="105" t="s">
        <v>2</v>
      </c>
      <c r="D59" s="105"/>
      <c r="E59" s="572"/>
      <c r="F59" s="112">
        <f>F47+F53+F58</f>
        <v>12121.650000000001</v>
      </c>
      <c r="G59" s="150"/>
      <c r="H59" s="235"/>
    </row>
    <row r="60" spans="2:8" s="121" customFormat="1" ht="15">
      <c r="B60" s="437"/>
      <c r="C60" s="191" t="s">
        <v>636</v>
      </c>
      <c r="D60" s="191"/>
      <c r="E60" s="186"/>
      <c r="F60" s="240"/>
      <c r="G60" s="150"/>
      <c r="H60" s="235"/>
    </row>
    <row r="61" spans="2:8" s="121" customFormat="1" ht="15">
      <c r="B61" s="437" t="s">
        <v>637</v>
      </c>
      <c r="C61" s="191"/>
      <c r="D61" s="191"/>
      <c r="E61" s="186"/>
      <c r="F61" s="240"/>
      <c r="G61" s="150"/>
      <c r="H61" s="235"/>
    </row>
    <row r="62" spans="2:9" s="121" customFormat="1" ht="15">
      <c r="B62" s="437">
        <v>44749</v>
      </c>
      <c r="C62" s="191" t="s">
        <v>651</v>
      </c>
      <c r="D62" s="191"/>
      <c r="E62" s="186"/>
      <c r="F62" s="240">
        <v>-789.6</v>
      </c>
      <c r="G62" s="150"/>
      <c r="H62" s="898" t="s">
        <v>673</v>
      </c>
      <c r="I62" s="252" t="s">
        <v>671</v>
      </c>
    </row>
    <row r="63" spans="2:9" s="121" customFormat="1" ht="15">
      <c r="B63" s="437"/>
      <c r="C63" s="191" t="s">
        <v>660</v>
      </c>
      <c r="D63" s="191"/>
      <c r="E63" s="186"/>
      <c r="F63" s="240">
        <v>-9</v>
      </c>
      <c r="G63" s="150"/>
      <c r="H63" s="898"/>
      <c r="I63" s="121" t="s">
        <v>672</v>
      </c>
    </row>
    <row r="64" spans="2:8" s="121" customFormat="1" ht="15">
      <c r="B64" s="437">
        <v>44796</v>
      </c>
      <c r="C64" s="191" t="s">
        <v>654</v>
      </c>
      <c r="D64" s="191"/>
      <c r="E64" s="186"/>
      <c r="F64" s="240">
        <v>-121</v>
      </c>
      <c r="G64" s="150"/>
      <c r="H64" s="898" t="s">
        <v>673</v>
      </c>
    </row>
    <row r="65" spans="2:8" s="121" customFormat="1" ht="15">
      <c r="B65" s="437">
        <v>44811</v>
      </c>
      <c r="C65" s="191" t="s">
        <v>655</v>
      </c>
      <c r="D65" s="191"/>
      <c r="E65" s="186"/>
      <c r="F65" s="240">
        <v>-181.5</v>
      </c>
      <c r="G65" s="150"/>
      <c r="H65" s="898" t="s">
        <v>673</v>
      </c>
    </row>
    <row r="66" spans="2:8" s="121" customFormat="1" ht="15">
      <c r="B66" s="437">
        <v>44844</v>
      </c>
      <c r="C66" s="191" t="s">
        <v>656</v>
      </c>
      <c r="D66" s="191"/>
      <c r="E66" s="186"/>
      <c r="F66" s="240">
        <v>-157.3</v>
      </c>
      <c r="G66" s="150"/>
      <c r="H66" s="898" t="s">
        <v>673</v>
      </c>
    </row>
    <row r="67" spans="2:8" s="121" customFormat="1" ht="15">
      <c r="B67" s="437"/>
      <c r="C67" s="191"/>
      <c r="D67" s="191"/>
      <c r="E67" s="186"/>
      <c r="F67" s="240"/>
      <c r="G67" s="150"/>
      <c r="H67" s="235"/>
    </row>
    <row r="68" spans="2:8" s="121" customFormat="1" ht="15">
      <c r="B68" s="759"/>
      <c r="C68" s="752" t="s">
        <v>638</v>
      </c>
      <c r="D68" s="752"/>
      <c r="E68" s="752"/>
      <c r="F68" s="760">
        <f>SUM(F61:F66)</f>
        <v>-1258.3999999999999</v>
      </c>
      <c r="G68" s="150"/>
      <c r="H68" s="235"/>
    </row>
    <row r="69" spans="2:8" s="121" customFormat="1" ht="15">
      <c r="B69" s="437"/>
      <c r="C69" s="191" t="s">
        <v>639</v>
      </c>
      <c r="D69" s="191"/>
      <c r="E69" s="186"/>
      <c r="F69" s="240"/>
      <c r="G69" s="150"/>
      <c r="H69" s="235"/>
    </row>
    <row r="70" spans="2:8" s="121" customFormat="1" ht="15">
      <c r="B70" s="437">
        <v>44565</v>
      </c>
      <c r="C70" s="191" t="s">
        <v>643</v>
      </c>
      <c r="D70" s="191"/>
      <c r="E70" s="186"/>
      <c r="F70" s="240">
        <v>1.28</v>
      </c>
      <c r="G70" s="150"/>
      <c r="H70" s="897" t="s">
        <v>376</v>
      </c>
    </row>
    <row r="71" spans="2:8" s="121" customFormat="1" ht="15">
      <c r="B71" s="891"/>
      <c r="C71" s="753" t="s">
        <v>640</v>
      </c>
      <c r="D71" s="753"/>
      <c r="E71" s="753"/>
      <c r="F71" s="851">
        <f>SUM(F70)</f>
        <v>1.28</v>
      </c>
      <c r="G71" s="150"/>
      <c r="H71" s="235"/>
    </row>
    <row r="72" spans="2:8" s="121" customFormat="1" ht="15.75" thickBot="1">
      <c r="B72" s="111">
        <f>B2</f>
        <v>44926</v>
      </c>
      <c r="C72" s="105" t="s">
        <v>2</v>
      </c>
      <c r="D72" s="105"/>
      <c r="E72" s="572"/>
      <c r="F72" s="112">
        <f>F59+F68+F71</f>
        <v>10864.530000000002</v>
      </c>
      <c r="G72" s="150"/>
      <c r="H72" s="235"/>
    </row>
    <row r="73" spans="2:8" s="121" customFormat="1" ht="15.75" thickBot="1">
      <c r="B73" s="473"/>
      <c r="C73" s="149"/>
      <c r="D73" s="149"/>
      <c r="E73" s="698"/>
      <c r="F73" s="227"/>
      <c r="G73" s="150"/>
      <c r="H73" s="235"/>
    </row>
    <row r="74" spans="1:8" ht="15" customHeight="1">
      <c r="A74" s="121"/>
      <c r="B74" s="255" t="s">
        <v>88</v>
      </c>
      <c r="C74" s="203"/>
      <c r="D74" s="203"/>
      <c r="E74" s="443" t="s">
        <v>116</v>
      </c>
      <c r="F74" s="444"/>
      <c r="G74" s="150"/>
      <c r="H74" s="150"/>
    </row>
    <row r="75" spans="2:8" ht="8.25" customHeight="1" hidden="1" thickBot="1">
      <c r="B75" s="111">
        <v>44196</v>
      </c>
      <c r="C75" s="105" t="s">
        <v>2</v>
      </c>
      <c r="D75" s="105"/>
      <c r="E75" s="572"/>
      <c r="F75" s="112">
        <v>1250</v>
      </c>
      <c r="G75" s="150"/>
      <c r="H75" s="150"/>
    </row>
    <row r="76" spans="2:8" ht="15" hidden="1">
      <c r="B76" s="437"/>
      <c r="C76" s="191" t="s">
        <v>590</v>
      </c>
      <c r="D76" s="191"/>
      <c r="E76" s="186"/>
      <c r="F76" s="240"/>
      <c r="G76" s="150"/>
      <c r="H76" s="150"/>
    </row>
    <row r="77" spans="2:8" ht="15" hidden="1">
      <c r="B77" s="437">
        <v>44461</v>
      </c>
      <c r="C77" s="191" t="s">
        <v>616</v>
      </c>
      <c r="D77" s="191"/>
      <c r="E77" s="186"/>
      <c r="F77" s="240">
        <v>-1118</v>
      </c>
      <c r="G77" s="150"/>
      <c r="H77" s="696" t="s">
        <v>634</v>
      </c>
    </row>
    <row r="78" spans="2:8" ht="15" hidden="1">
      <c r="B78" s="437"/>
      <c r="C78" s="191"/>
      <c r="D78" s="191"/>
      <c r="E78" s="186"/>
      <c r="F78" s="240"/>
      <c r="G78" s="150"/>
      <c r="H78" s="150"/>
    </row>
    <row r="79" spans="2:8" ht="15" hidden="1">
      <c r="B79" s="437"/>
      <c r="C79" s="191"/>
      <c r="D79" s="191"/>
      <c r="E79" s="186"/>
      <c r="F79" s="240"/>
      <c r="G79" s="150"/>
      <c r="H79" s="150"/>
    </row>
    <row r="80" spans="2:8" ht="15.75" hidden="1" thickBot="1">
      <c r="B80" s="668"/>
      <c r="C80" s="669" t="s">
        <v>589</v>
      </c>
      <c r="D80" s="831"/>
      <c r="E80" s="670"/>
      <c r="F80" s="832">
        <f>SUM(F77:F79)</f>
        <v>-1118</v>
      </c>
      <c r="G80" s="150"/>
      <c r="H80" s="150"/>
    </row>
    <row r="81" spans="2:8" ht="15" hidden="1">
      <c r="B81" s="665"/>
      <c r="C81" s="666" t="s">
        <v>591</v>
      </c>
      <c r="D81" s="666"/>
      <c r="E81" s="667"/>
      <c r="F81" s="841"/>
      <c r="G81" s="150"/>
      <c r="H81" s="150"/>
    </row>
    <row r="82" spans="2:8" ht="15" hidden="1">
      <c r="B82" s="437">
        <v>44362</v>
      </c>
      <c r="C82" s="191" t="s">
        <v>613</v>
      </c>
      <c r="D82" s="191"/>
      <c r="E82" s="186"/>
      <c r="F82" s="853">
        <v>1118</v>
      </c>
      <c r="G82" s="150"/>
      <c r="H82" s="150" t="s">
        <v>376</v>
      </c>
    </row>
    <row r="83" spans="2:8" ht="15" hidden="1">
      <c r="B83" s="437">
        <v>44516</v>
      </c>
      <c r="C83" s="191" t="s">
        <v>622</v>
      </c>
      <c r="D83" s="191"/>
      <c r="E83" s="186"/>
      <c r="F83" s="853">
        <v>253.84</v>
      </c>
      <c r="G83" s="150"/>
      <c r="H83" s="150" t="s">
        <v>376</v>
      </c>
    </row>
    <row r="84" spans="2:8" ht="15" hidden="1">
      <c r="B84" s="437">
        <v>44551</v>
      </c>
      <c r="C84" s="191" t="s">
        <v>623</v>
      </c>
      <c r="D84" s="191"/>
      <c r="E84" s="186"/>
      <c r="F84" s="853">
        <v>1000</v>
      </c>
      <c r="G84" s="150"/>
      <c r="H84" s="150" t="s">
        <v>376</v>
      </c>
    </row>
    <row r="85" spans="2:8" ht="15" hidden="1">
      <c r="B85" s="437">
        <v>44551</v>
      </c>
      <c r="C85" s="191" t="s">
        <v>623</v>
      </c>
      <c r="D85" s="191"/>
      <c r="E85" s="186"/>
      <c r="F85" s="853">
        <v>6000</v>
      </c>
      <c r="G85" s="150"/>
      <c r="H85" s="150" t="s">
        <v>376</v>
      </c>
    </row>
    <row r="86" spans="2:8" ht="15" hidden="1">
      <c r="B86" s="759"/>
      <c r="C86" s="753" t="s">
        <v>592</v>
      </c>
      <c r="D86" s="753"/>
      <c r="E86" s="754"/>
      <c r="F86" s="854">
        <f>SUM(F82:F85)</f>
        <v>8371.84</v>
      </c>
      <c r="G86" s="150"/>
      <c r="H86" s="150"/>
    </row>
    <row r="87" spans="2:8" ht="15.75" thickBot="1">
      <c r="B87" s="111">
        <v>44561</v>
      </c>
      <c r="C87" s="105" t="s">
        <v>2</v>
      </c>
      <c r="D87" s="105"/>
      <c r="E87" s="572"/>
      <c r="F87" s="112">
        <f>F75+F80+F86</f>
        <v>8503.84</v>
      </c>
      <c r="G87" s="150"/>
      <c r="H87" s="150"/>
    </row>
    <row r="88" spans="2:8" ht="15">
      <c r="B88" s="437"/>
      <c r="C88" s="191" t="s">
        <v>636</v>
      </c>
      <c r="D88" s="191"/>
      <c r="E88" s="186"/>
      <c r="F88" s="240"/>
      <c r="G88" s="150"/>
      <c r="H88" s="150"/>
    </row>
    <row r="89" spans="2:8" ht="15">
      <c r="B89" s="437">
        <v>44704</v>
      </c>
      <c r="C89" s="191" t="s">
        <v>649</v>
      </c>
      <c r="D89" s="191"/>
      <c r="E89" s="186"/>
      <c r="F89" s="240">
        <v>-1000</v>
      </c>
      <c r="G89" s="150"/>
      <c r="H89" s="899" t="s">
        <v>673</v>
      </c>
    </row>
    <row r="90" spans="2:8" ht="15">
      <c r="B90" s="437">
        <v>44725</v>
      </c>
      <c r="C90" s="191" t="s">
        <v>650</v>
      </c>
      <c r="D90" s="191"/>
      <c r="E90" s="186"/>
      <c r="F90" s="240">
        <v>-2160</v>
      </c>
      <c r="G90" s="150"/>
      <c r="H90" s="899" t="s">
        <v>673</v>
      </c>
    </row>
    <row r="91" spans="2:9" ht="15">
      <c r="B91" s="437">
        <v>44766</v>
      </c>
      <c r="C91" s="191" t="s">
        <v>653</v>
      </c>
      <c r="D91" s="191"/>
      <c r="E91" s="186"/>
      <c r="F91" s="240">
        <v>-216.76</v>
      </c>
      <c r="G91" s="150"/>
      <c r="H91" s="899" t="s">
        <v>673</v>
      </c>
      <c r="I91" t="s">
        <v>674</v>
      </c>
    </row>
    <row r="92" spans="2:8" ht="15">
      <c r="B92" s="437">
        <v>44766</v>
      </c>
      <c r="C92" s="191" t="s">
        <v>652</v>
      </c>
      <c r="D92" s="191"/>
      <c r="E92" s="186"/>
      <c r="F92" s="240">
        <v>-1</v>
      </c>
      <c r="G92" s="150"/>
      <c r="H92" s="899"/>
    </row>
    <row r="93" spans="2:8" ht="15">
      <c r="B93" s="437">
        <v>44889</v>
      </c>
      <c r="C93" s="191" t="s">
        <v>657</v>
      </c>
      <c r="D93" s="191"/>
      <c r="E93" s="186"/>
      <c r="F93" s="240">
        <v>-2130</v>
      </c>
      <c r="G93" s="150"/>
      <c r="H93" s="899" t="s">
        <v>673</v>
      </c>
    </row>
    <row r="94" spans="2:8" ht="15">
      <c r="B94" s="759"/>
      <c r="C94" s="752" t="s">
        <v>638</v>
      </c>
      <c r="D94" s="752"/>
      <c r="E94" s="752"/>
      <c r="F94" s="760">
        <f>SUM(F89:F93)</f>
        <v>-5507.76</v>
      </c>
      <c r="G94" s="150"/>
      <c r="H94" s="150"/>
    </row>
    <row r="95" spans="2:8" ht="15">
      <c r="B95" s="437"/>
      <c r="C95" s="191" t="s">
        <v>639</v>
      </c>
      <c r="D95" s="191"/>
      <c r="E95" s="186"/>
      <c r="F95" s="240"/>
      <c r="G95" s="150"/>
      <c r="H95" s="150"/>
    </row>
    <row r="96" spans="2:8" ht="15">
      <c r="B96" s="437">
        <v>44893</v>
      </c>
      <c r="C96" s="191" t="s">
        <v>623</v>
      </c>
      <c r="D96" s="191"/>
      <c r="E96" s="186"/>
      <c r="F96" s="240">
        <v>187.07</v>
      </c>
      <c r="G96" s="150"/>
      <c r="H96" s="897" t="s">
        <v>376</v>
      </c>
    </row>
    <row r="97" spans="2:8" ht="15">
      <c r="B97" s="437"/>
      <c r="C97" s="191"/>
      <c r="D97" s="191"/>
      <c r="E97" s="186"/>
      <c r="F97" s="240"/>
      <c r="G97" s="150"/>
      <c r="H97" s="150"/>
    </row>
    <row r="98" spans="2:8" ht="15">
      <c r="B98" s="891"/>
      <c r="C98" s="753" t="s">
        <v>640</v>
      </c>
      <c r="D98" s="753"/>
      <c r="E98" s="753"/>
      <c r="F98" s="851">
        <f>SUM(F96)</f>
        <v>187.07</v>
      </c>
      <c r="G98" s="150"/>
      <c r="H98" s="150"/>
    </row>
    <row r="99" spans="2:8" ht="15.75" thickBot="1">
      <c r="B99" s="111">
        <f>B2</f>
        <v>44926</v>
      </c>
      <c r="C99" s="105" t="s">
        <v>2</v>
      </c>
      <c r="D99" s="105"/>
      <c r="E99" s="572"/>
      <c r="F99" s="112">
        <f>F87+F94+F98</f>
        <v>3183.15</v>
      </c>
      <c r="G99" s="150"/>
      <c r="H99" s="150"/>
    </row>
    <row r="100" spans="2:8" ht="13.5" thickBot="1">
      <c r="B100" s="24"/>
      <c r="C100" s="24"/>
      <c r="D100" s="24"/>
      <c r="E100" s="24"/>
      <c r="F100" s="24"/>
      <c r="G100" s="150"/>
      <c r="H100" s="150"/>
    </row>
    <row r="101" spans="1:9" ht="15">
      <c r="A101" s="150"/>
      <c r="B101" s="255" t="s">
        <v>226</v>
      </c>
      <c r="C101" s="203"/>
      <c r="D101" s="203"/>
      <c r="E101" s="447" t="s">
        <v>141</v>
      </c>
      <c r="F101" s="444"/>
      <c r="G101" s="150"/>
      <c r="H101" s="150"/>
      <c r="I101" s="150"/>
    </row>
    <row r="102" spans="2:9" ht="1.5" customHeight="1" thickBot="1">
      <c r="B102" s="111">
        <v>44196</v>
      </c>
      <c r="C102" s="105" t="s">
        <v>2</v>
      </c>
      <c r="D102" s="105"/>
      <c r="E102" s="572"/>
      <c r="F102" s="112">
        <v>2274.85</v>
      </c>
      <c r="H102" s="150"/>
      <c r="I102" s="150"/>
    </row>
    <row r="103" spans="2:9" ht="1.5" customHeight="1" hidden="1">
      <c r="B103" s="437"/>
      <c r="C103" s="191" t="s">
        <v>590</v>
      </c>
      <c r="D103" s="191"/>
      <c r="E103" s="186"/>
      <c r="F103" s="240"/>
      <c r="I103" s="150"/>
    </row>
    <row r="104" spans="2:9" ht="15" hidden="1">
      <c r="B104" s="437">
        <v>44392</v>
      </c>
      <c r="C104" s="191" t="s">
        <v>614</v>
      </c>
      <c r="D104" s="191"/>
      <c r="E104" s="186"/>
      <c r="F104" s="240">
        <v>-2250</v>
      </c>
      <c r="H104" s="481" t="s">
        <v>634</v>
      </c>
      <c r="I104" s="150"/>
    </row>
    <row r="105" spans="2:9" ht="15" hidden="1">
      <c r="B105" s="437"/>
      <c r="C105" s="191"/>
      <c r="D105" s="191"/>
      <c r="E105" s="186"/>
      <c r="F105" s="240"/>
      <c r="I105" s="150"/>
    </row>
    <row r="106" spans="2:9" ht="15" hidden="1">
      <c r="B106" s="437"/>
      <c r="C106" s="191"/>
      <c r="D106" s="191"/>
      <c r="E106" s="186"/>
      <c r="F106" s="240"/>
      <c r="I106" s="150"/>
    </row>
    <row r="107" spans="2:9" ht="15.75" hidden="1" thickBot="1">
      <c r="B107" s="668"/>
      <c r="C107" s="669" t="s">
        <v>589</v>
      </c>
      <c r="D107" s="831"/>
      <c r="E107" s="670"/>
      <c r="F107" s="832">
        <f>SUM(F104:F106)</f>
        <v>-2250</v>
      </c>
      <c r="I107" s="150"/>
    </row>
    <row r="108" spans="2:9" ht="15" hidden="1">
      <c r="B108" s="665"/>
      <c r="C108" s="666" t="s">
        <v>591</v>
      </c>
      <c r="D108" s="666"/>
      <c r="E108" s="667"/>
      <c r="F108" s="841"/>
      <c r="I108" s="150"/>
    </row>
    <row r="109" spans="2:9" ht="15" hidden="1">
      <c r="B109" s="437">
        <v>44293</v>
      </c>
      <c r="C109" s="191" t="s">
        <v>602</v>
      </c>
      <c r="D109" s="191"/>
      <c r="E109" s="186"/>
      <c r="F109" s="833">
        <v>351.03</v>
      </c>
      <c r="H109" t="s">
        <v>376</v>
      </c>
      <c r="I109" s="150"/>
    </row>
    <row r="110" spans="2:9" ht="15" hidden="1">
      <c r="B110" s="437"/>
      <c r="C110" s="191"/>
      <c r="D110" s="191"/>
      <c r="E110" s="186"/>
      <c r="F110" s="833"/>
      <c r="I110" s="150"/>
    </row>
    <row r="111" spans="2:9" ht="15" hidden="1">
      <c r="B111" s="759"/>
      <c r="C111" s="753" t="s">
        <v>592</v>
      </c>
      <c r="D111" s="753"/>
      <c r="E111" s="754"/>
      <c r="F111" s="834">
        <f>SUM(F108:F109)</f>
        <v>351.03</v>
      </c>
      <c r="I111" s="150"/>
    </row>
    <row r="112" spans="2:9" ht="15.75" thickBot="1">
      <c r="B112" s="111">
        <v>44561</v>
      </c>
      <c r="C112" s="105" t="s">
        <v>2</v>
      </c>
      <c r="D112" s="105"/>
      <c r="E112" s="572"/>
      <c r="F112" s="112">
        <f>F102+F107+F111</f>
        <v>375.8799999999999</v>
      </c>
      <c r="I112" s="150"/>
    </row>
    <row r="113" spans="2:9" ht="15">
      <c r="B113" s="437"/>
      <c r="C113" s="191" t="s">
        <v>636</v>
      </c>
      <c r="D113" s="191"/>
      <c r="E113" s="186"/>
      <c r="F113" s="240"/>
      <c r="I113" s="150"/>
    </row>
    <row r="114" spans="2:9" ht="15">
      <c r="B114" s="437" t="s">
        <v>637</v>
      </c>
      <c r="C114" s="191"/>
      <c r="D114" s="191"/>
      <c r="E114" s="186"/>
      <c r="F114" s="240"/>
      <c r="I114" s="150"/>
    </row>
    <row r="115" spans="2:9" ht="15">
      <c r="B115" s="437"/>
      <c r="C115" s="191"/>
      <c r="D115" s="191"/>
      <c r="E115" s="186"/>
      <c r="F115" s="240"/>
      <c r="I115" s="150"/>
    </row>
    <row r="116" spans="2:9" ht="15">
      <c r="B116" s="437"/>
      <c r="C116" s="191"/>
      <c r="D116" s="191"/>
      <c r="E116" s="186"/>
      <c r="F116" s="240"/>
      <c r="I116" s="150"/>
    </row>
    <row r="117" spans="2:9" ht="15">
      <c r="B117" s="759"/>
      <c r="C117" s="752" t="s">
        <v>638</v>
      </c>
      <c r="D117" s="752"/>
      <c r="E117" s="752"/>
      <c r="F117" s="851">
        <f>SUM(F114:F116)</f>
        <v>0</v>
      </c>
      <c r="I117" s="150"/>
    </row>
    <row r="118" spans="2:9" ht="15">
      <c r="B118" s="437"/>
      <c r="C118" s="191" t="s">
        <v>639</v>
      </c>
      <c r="D118" s="191"/>
      <c r="E118" s="186"/>
      <c r="F118" s="240"/>
      <c r="I118" s="150"/>
    </row>
    <row r="119" spans="2:9" ht="15">
      <c r="B119" s="437">
        <v>44872</v>
      </c>
      <c r="C119" s="191" t="s">
        <v>658</v>
      </c>
      <c r="D119" s="191"/>
      <c r="E119" s="186"/>
      <c r="F119" s="240">
        <v>2274</v>
      </c>
      <c r="H119" s="897" t="s">
        <v>376</v>
      </c>
      <c r="I119" s="150"/>
    </row>
    <row r="120" spans="2:9" ht="15">
      <c r="B120" s="437">
        <v>44879</v>
      </c>
      <c r="C120" s="191" t="s">
        <v>659</v>
      </c>
      <c r="D120" s="191"/>
      <c r="E120" s="186"/>
      <c r="F120" s="240">
        <v>200</v>
      </c>
      <c r="H120" s="897" t="s">
        <v>376</v>
      </c>
      <c r="I120" s="150"/>
    </row>
    <row r="121" spans="2:9" ht="15">
      <c r="B121" s="437"/>
      <c r="C121" s="191"/>
      <c r="D121" s="191"/>
      <c r="E121" s="186"/>
      <c r="F121" s="240"/>
      <c r="I121" s="150"/>
    </row>
    <row r="122" spans="2:9" ht="15">
      <c r="B122" s="891"/>
      <c r="C122" s="753" t="s">
        <v>640</v>
      </c>
      <c r="D122" s="753"/>
      <c r="E122" s="753"/>
      <c r="F122" s="760">
        <f>SUM(F119:F121)</f>
        <v>2474</v>
      </c>
      <c r="I122" s="150"/>
    </row>
    <row r="123" spans="2:9" ht="15.75" thickBot="1">
      <c r="B123" s="111">
        <f>B2</f>
        <v>44926</v>
      </c>
      <c r="C123" s="105" t="s">
        <v>2</v>
      </c>
      <c r="D123" s="105"/>
      <c r="E123" s="572"/>
      <c r="F123" s="112">
        <f>F112+F117+F122</f>
        <v>2849.88</v>
      </c>
      <c r="I123" s="150"/>
    </row>
    <row r="124" ht="12.75" customHeight="1" thickBot="1">
      <c r="I124" s="150"/>
    </row>
    <row r="125" spans="2:9" ht="15">
      <c r="B125" s="255" t="s">
        <v>593</v>
      </c>
      <c r="C125" s="203"/>
      <c r="D125" s="203"/>
      <c r="E125" s="447" t="s">
        <v>520</v>
      </c>
      <c r="F125" s="444"/>
      <c r="I125" s="150"/>
    </row>
    <row r="126" spans="1:9" ht="0" customHeight="1" hidden="1" thickBot="1">
      <c r="A126" s="121"/>
      <c r="B126" s="111">
        <v>44196</v>
      </c>
      <c r="C126" s="105" t="s">
        <v>2</v>
      </c>
      <c r="D126" s="105"/>
      <c r="E126" s="572"/>
      <c r="F126" s="112">
        <v>-0.5</v>
      </c>
      <c r="G126" s="121"/>
      <c r="H126" s="121"/>
      <c r="I126" s="121"/>
    </row>
    <row r="127" spans="1:9" ht="15" hidden="1">
      <c r="A127" s="121"/>
      <c r="B127" s="437"/>
      <c r="C127" s="191" t="s">
        <v>590</v>
      </c>
      <c r="D127" s="191"/>
      <c r="E127" s="186"/>
      <c r="F127" s="240"/>
      <c r="G127" s="121"/>
      <c r="H127" s="121"/>
      <c r="I127" s="121"/>
    </row>
    <row r="128" spans="1:9" ht="15" hidden="1">
      <c r="A128" s="121"/>
      <c r="B128" s="437">
        <v>44245</v>
      </c>
      <c r="C128" s="191" t="s">
        <v>597</v>
      </c>
      <c r="D128" s="191"/>
      <c r="E128" s="186"/>
      <c r="F128" s="240">
        <v>-14.59</v>
      </c>
      <c r="G128" s="121"/>
      <c r="H128" s="121" t="s">
        <v>376</v>
      </c>
      <c r="I128" s="121"/>
    </row>
    <row r="129" spans="1:9" ht="15" hidden="1">
      <c r="A129" s="121"/>
      <c r="B129" s="437">
        <v>44280</v>
      </c>
      <c r="C129" s="191" t="s">
        <v>597</v>
      </c>
      <c r="D129" s="191"/>
      <c r="E129" s="186"/>
      <c r="F129" s="240">
        <v>-18.95</v>
      </c>
      <c r="G129" s="121"/>
      <c r="H129" s="121" t="s">
        <v>376</v>
      </c>
      <c r="I129" s="121"/>
    </row>
    <row r="130" spans="1:9" ht="15" hidden="1">
      <c r="A130" s="121"/>
      <c r="B130" s="437">
        <v>44281</v>
      </c>
      <c r="C130" s="191" t="s">
        <v>601</v>
      </c>
      <c r="D130" s="191"/>
      <c r="E130" s="186"/>
      <c r="F130" s="240">
        <v>-77.8</v>
      </c>
      <c r="G130" s="121"/>
      <c r="H130" s="121" t="s">
        <v>376</v>
      </c>
      <c r="I130" s="121"/>
    </row>
    <row r="131" spans="1:9" ht="15" hidden="1">
      <c r="A131" s="121"/>
      <c r="B131" s="437">
        <v>44308</v>
      </c>
      <c r="C131" s="191" t="s">
        <v>601</v>
      </c>
      <c r="D131" s="191"/>
      <c r="E131" s="186"/>
      <c r="F131" s="240">
        <v>-82.63</v>
      </c>
      <c r="G131" s="121"/>
      <c r="H131" s="121" t="s">
        <v>376</v>
      </c>
      <c r="I131" s="121"/>
    </row>
    <row r="132" spans="1:9" ht="15" hidden="1">
      <c r="A132" s="121"/>
      <c r="B132" s="437">
        <v>44312</v>
      </c>
      <c r="C132" s="191" t="s">
        <v>607</v>
      </c>
      <c r="D132" s="191"/>
      <c r="E132" s="186"/>
      <c r="F132" s="240">
        <v>-10</v>
      </c>
      <c r="G132" s="121"/>
      <c r="H132" s="121" t="s">
        <v>376</v>
      </c>
      <c r="I132" s="852" t="s">
        <v>608</v>
      </c>
    </row>
    <row r="133" spans="1:9" ht="15" hidden="1">
      <c r="A133" s="121"/>
      <c r="B133" s="437">
        <v>44312</v>
      </c>
      <c r="C133" s="191" t="s">
        <v>601</v>
      </c>
      <c r="D133" s="191"/>
      <c r="E133" s="186"/>
      <c r="F133" s="240">
        <v>-9.94</v>
      </c>
      <c r="G133" s="121"/>
      <c r="H133" s="121" t="s">
        <v>376</v>
      </c>
      <c r="I133" s="121"/>
    </row>
    <row r="134" spans="1:9" ht="15" hidden="1">
      <c r="A134" s="121"/>
      <c r="B134" s="437">
        <v>44320</v>
      </c>
      <c r="C134" s="191" t="s">
        <v>601</v>
      </c>
      <c r="D134" s="191"/>
      <c r="E134" s="186"/>
      <c r="F134" s="240">
        <v>-25</v>
      </c>
      <c r="G134" s="121"/>
      <c r="H134" s="121" t="s">
        <v>376</v>
      </c>
      <c r="I134" s="121"/>
    </row>
    <row r="135" spans="1:9" ht="4.5" customHeight="1" hidden="1">
      <c r="A135" s="121"/>
      <c r="B135" s="437">
        <v>44471</v>
      </c>
      <c r="C135" s="191" t="s">
        <v>601</v>
      </c>
      <c r="D135" s="191"/>
      <c r="E135" s="186"/>
      <c r="F135" s="240">
        <v>-66.3</v>
      </c>
      <c r="G135" s="121"/>
      <c r="H135" s="121" t="s">
        <v>376</v>
      </c>
      <c r="I135" s="121"/>
    </row>
    <row r="136" spans="1:9" ht="15" hidden="1">
      <c r="A136" s="121"/>
      <c r="B136" s="437">
        <v>44502</v>
      </c>
      <c r="C136" s="191" t="s">
        <v>601</v>
      </c>
      <c r="D136" s="191"/>
      <c r="E136" s="186"/>
      <c r="F136" s="240">
        <v>-29.17</v>
      </c>
      <c r="G136" s="121"/>
      <c r="H136" s="121" t="s">
        <v>376</v>
      </c>
      <c r="I136" s="121"/>
    </row>
    <row r="137" spans="1:9" ht="15" hidden="1">
      <c r="A137" s="121"/>
      <c r="B137" s="437">
        <v>44503</v>
      </c>
      <c r="C137" s="191" t="s">
        <v>601</v>
      </c>
      <c r="D137" s="191"/>
      <c r="E137" s="186"/>
      <c r="F137" s="240">
        <v>-97.25</v>
      </c>
      <c r="G137" s="121"/>
      <c r="H137" s="121" t="s">
        <v>376</v>
      </c>
      <c r="I137" s="121"/>
    </row>
    <row r="138" spans="1:9" ht="15" hidden="1">
      <c r="A138" s="121"/>
      <c r="B138" s="437">
        <v>44509</v>
      </c>
      <c r="C138" s="191" t="s">
        <v>601</v>
      </c>
      <c r="D138" s="191"/>
      <c r="E138" s="186"/>
      <c r="F138" s="240">
        <v>-106.97</v>
      </c>
      <c r="G138" s="121"/>
      <c r="H138" s="121" t="s">
        <v>376</v>
      </c>
      <c r="I138" s="121"/>
    </row>
    <row r="139" spans="1:9" ht="15" hidden="1">
      <c r="A139" s="121"/>
      <c r="B139" s="437"/>
      <c r="C139" s="191"/>
      <c r="D139" s="191"/>
      <c r="E139" s="186"/>
      <c r="F139" s="240"/>
      <c r="G139" s="121"/>
      <c r="H139" s="121"/>
      <c r="I139" s="121"/>
    </row>
    <row r="140" spans="1:9" ht="15.75" hidden="1" thickBot="1">
      <c r="A140" s="121"/>
      <c r="B140" s="668"/>
      <c r="C140" s="669" t="s">
        <v>589</v>
      </c>
      <c r="D140" s="831"/>
      <c r="E140" s="670"/>
      <c r="F140" s="671">
        <f>SUM(F128:F138)</f>
        <v>-538.6</v>
      </c>
      <c r="G140" s="121"/>
      <c r="H140" s="121"/>
      <c r="I140" s="121"/>
    </row>
    <row r="141" spans="1:9" ht="15" hidden="1">
      <c r="A141" s="121"/>
      <c r="B141" s="665"/>
      <c r="C141" s="666" t="s">
        <v>591</v>
      </c>
      <c r="D141" s="666"/>
      <c r="E141" s="667"/>
      <c r="F141" s="841"/>
      <c r="G141" s="121"/>
      <c r="H141" s="121"/>
      <c r="I141" s="121"/>
    </row>
    <row r="142" spans="1:9" ht="15" hidden="1">
      <c r="A142" s="121"/>
      <c r="B142" s="437">
        <v>44245</v>
      </c>
      <c r="C142" s="191" t="s">
        <v>347</v>
      </c>
      <c r="D142" s="191"/>
      <c r="E142" s="186"/>
      <c r="F142" s="240">
        <v>14.59</v>
      </c>
      <c r="G142" s="121"/>
      <c r="H142" s="121" t="s">
        <v>376</v>
      </c>
      <c r="I142" s="121"/>
    </row>
    <row r="143" spans="1:9" ht="15" hidden="1">
      <c r="A143" s="121"/>
      <c r="B143" s="437">
        <v>44280</v>
      </c>
      <c r="C143" s="191" t="s">
        <v>347</v>
      </c>
      <c r="D143" s="191"/>
      <c r="E143" s="186"/>
      <c r="F143" s="240">
        <v>19.45</v>
      </c>
      <c r="G143" s="121"/>
      <c r="H143" s="121" t="s">
        <v>376</v>
      </c>
      <c r="I143" s="121"/>
    </row>
    <row r="144" spans="1:9" ht="15" hidden="1">
      <c r="A144" s="121"/>
      <c r="B144" s="437">
        <v>44281</v>
      </c>
      <c r="C144" s="191" t="s">
        <v>347</v>
      </c>
      <c r="D144" s="191"/>
      <c r="E144" s="186"/>
      <c r="F144" s="240">
        <v>77.8</v>
      </c>
      <c r="G144" s="121"/>
      <c r="H144" s="121" t="s">
        <v>376</v>
      </c>
      <c r="I144" s="121"/>
    </row>
    <row r="145" spans="1:9" ht="15" hidden="1">
      <c r="A145" s="121"/>
      <c r="B145" s="437">
        <v>44277</v>
      </c>
      <c r="C145" s="191" t="s">
        <v>347</v>
      </c>
      <c r="D145" s="191"/>
      <c r="E145" s="186"/>
      <c r="F145" s="240">
        <v>82.63</v>
      </c>
      <c r="G145" s="121"/>
      <c r="H145" s="121" t="s">
        <v>376</v>
      </c>
      <c r="I145" s="121"/>
    </row>
    <row r="146" spans="1:9" ht="15" hidden="1">
      <c r="A146" s="121"/>
      <c r="B146" s="437">
        <v>44309</v>
      </c>
      <c r="C146" s="191" t="s">
        <v>347</v>
      </c>
      <c r="D146" s="191"/>
      <c r="E146" s="186"/>
      <c r="F146" s="240">
        <v>19.44</v>
      </c>
      <c r="G146" s="121"/>
      <c r="H146" s="121" t="s">
        <v>376</v>
      </c>
      <c r="I146" s="121"/>
    </row>
    <row r="147" spans="1:9" ht="15" hidden="1">
      <c r="A147" s="121"/>
      <c r="B147" s="437">
        <v>44314</v>
      </c>
      <c r="C147" s="191" t="s">
        <v>609</v>
      </c>
      <c r="D147" s="191"/>
      <c r="E147" s="186"/>
      <c r="F147" s="240">
        <v>20</v>
      </c>
      <c r="G147" s="121"/>
      <c r="H147" s="121" t="s">
        <v>376</v>
      </c>
      <c r="I147" s="121"/>
    </row>
    <row r="148" spans="1:9" ht="15" hidden="1">
      <c r="A148" s="121"/>
      <c r="B148" s="437">
        <v>44315</v>
      </c>
      <c r="C148" s="191" t="s">
        <v>610</v>
      </c>
      <c r="D148" s="191"/>
      <c r="E148" s="186"/>
      <c r="F148" s="240">
        <v>5</v>
      </c>
      <c r="G148" s="121"/>
      <c r="H148" s="121" t="s">
        <v>376</v>
      </c>
      <c r="I148" s="121"/>
    </row>
    <row r="149" spans="1:9" ht="15" hidden="1">
      <c r="A149" s="121"/>
      <c r="B149" s="437">
        <v>44320</v>
      </c>
      <c r="C149" s="191" t="s">
        <v>611</v>
      </c>
      <c r="D149" s="191"/>
      <c r="E149" s="186"/>
      <c r="F149" s="240">
        <v>10</v>
      </c>
      <c r="G149" s="121"/>
      <c r="H149" s="121" t="s">
        <v>376</v>
      </c>
      <c r="I149" s="121"/>
    </row>
    <row r="150" spans="1:9" ht="15" hidden="1">
      <c r="A150" s="121"/>
      <c r="B150" s="437">
        <v>44324</v>
      </c>
      <c r="C150" s="191" t="s">
        <v>612</v>
      </c>
      <c r="D150" s="191"/>
      <c r="E150" s="186"/>
      <c r="F150" s="240">
        <v>5</v>
      </c>
      <c r="G150" s="121"/>
      <c r="H150" s="121" t="s">
        <v>376</v>
      </c>
      <c r="I150" s="121"/>
    </row>
    <row r="151" spans="1:9" ht="15" hidden="1">
      <c r="A151" s="121"/>
      <c r="B151" s="437">
        <v>44471</v>
      </c>
      <c r="C151" s="191" t="s">
        <v>621</v>
      </c>
      <c r="D151" s="191"/>
      <c r="E151" s="186"/>
      <c r="F151" s="240">
        <v>76.28</v>
      </c>
      <c r="G151" s="121"/>
      <c r="H151" s="121" t="s">
        <v>376</v>
      </c>
      <c r="I151" s="121"/>
    </row>
    <row r="152" spans="1:9" ht="15" hidden="1">
      <c r="A152" s="121"/>
      <c r="B152" s="437">
        <v>44495</v>
      </c>
      <c r="C152" s="191" t="s">
        <v>621</v>
      </c>
      <c r="D152" s="191"/>
      <c r="E152" s="186"/>
      <c r="F152" s="240">
        <v>29.17</v>
      </c>
      <c r="G152" s="121"/>
      <c r="H152" s="121" t="s">
        <v>376</v>
      </c>
      <c r="I152" s="121"/>
    </row>
    <row r="153" spans="1:9" ht="15" hidden="1">
      <c r="A153" s="121"/>
      <c r="B153" s="437">
        <v>44497</v>
      </c>
      <c r="C153" s="191" t="s">
        <v>621</v>
      </c>
      <c r="D153" s="191"/>
      <c r="E153" s="186"/>
      <c r="F153" s="240">
        <v>97.25</v>
      </c>
      <c r="G153" s="121"/>
      <c r="H153" s="121" t="s">
        <v>376</v>
      </c>
      <c r="I153" s="121"/>
    </row>
    <row r="154" spans="1:9" ht="15" hidden="1">
      <c r="A154" s="121"/>
      <c r="B154" s="437">
        <v>44509</v>
      </c>
      <c r="C154" s="191" t="s">
        <v>621</v>
      </c>
      <c r="D154" s="191"/>
      <c r="E154" s="186"/>
      <c r="F154" s="240">
        <v>106.97</v>
      </c>
      <c r="G154" s="121"/>
      <c r="H154" s="121" t="s">
        <v>376</v>
      </c>
      <c r="I154" s="121"/>
    </row>
    <row r="155" spans="1:9" ht="15" hidden="1">
      <c r="A155" s="121"/>
      <c r="B155" s="437"/>
      <c r="C155" s="191"/>
      <c r="D155" s="191"/>
      <c r="E155" s="186"/>
      <c r="F155" s="240"/>
      <c r="G155" s="121"/>
      <c r="H155" s="121"/>
      <c r="I155" s="121"/>
    </row>
    <row r="156" spans="1:9" ht="15.75" hidden="1" thickBot="1">
      <c r="A156" s="121"/>
      <c r="B156" s="759"/>
      <c r="C156" s="753" t="s">
        <v>592</v>
      </c>
      <c r="D156" s="753"/>
      <c r="E156" s="754"/>
      <c r="F156" s="671">
        <f>SUM(F142:F154)</f>
        <v>563.58</v>
      </c>
      <c r="G156" s="121"/>
      <c r="H156" s="121"/>
      <c r="I156" s="121"/>
    </row>
    <row r="157" spans="1:9" ht="15.75" thickBot="1">
      <c r="A157" s="121"/>
      <c r="B157" s="111">
        <v>44561</v>
      </c>
      <c r="C157" s="105" t="s">
        <v>2</v>
      </c>
      <c r="D157" s="105"/>
      <c r="E157" s="572"/>
      <c r="F157" s="112">
        <f>F126+F140+F156</f>
        <v>24.480000000000018</v>
      </c>
      <c r="G157" s="121"/>
      <c r="H157" s="121"/>
      <c r="I157" s="121"/>
    </row>
    <row r="158" spans="1:12" ht="15">
      <c r="A158" s="121"/>
      <c r="B158" s="437"/>
      <c r="C158" s="191" t="s">
        <v>636</v>
      </c>
      <c r="D158" s="191"/>
      <c r="E158" s="186"/>
      <c r="F158" s="240"/>
      <c r="G158" s="121"/>
      <c r="H158" s="121"/>
      <c r="I158" s="121"/>
      <c r="J158" s="121"/>
      <c r="K158" s="121"/>
      <c r="L158" s="121"/>
    </row>
    <row r="159" spans="1:12" ht="15">
      <c r="A159" s="121"/>
      <c r="B159" s="437">
        <v>44645</v>
      </c>
      <c r="C159" s="191" t="s">
        <v>645</v>
      </c>
      <c r="D159" s="191"/>
      <c r="E159" s="186"/>
      <c r="F159" s="240">
        <v>-19.45</v>
      </c>
      <c r="G159" s="121"/>
      <c r="H159" s="121"/>
      <c r="I159" s="121"/>
      <c r="J159" s="121"/>
      <c r="K159" s="121"/>
      <c r="L159" s="121"/>
    </row>
    <row r="160" spans="1:12" ht="15">
      <c r="A160" s="121"/>
      <c r="B160" s="437">
        <v>44704</v>
      </c>
      <c r="C160" s="191" t="s">
        <v>646</v>
      </c>
      <c r="D160" s="191"/>
      <c r="E160" s="186"/>
      <c r="F160" s="240">
        <f>-24.48</f>
        <v>-24.48</v>
      </c>
      <c r="G160" s="121"/>
      <c r="H160" s="121"/>
      <c r="I160" s="121"/>
      <c r="J160" s="121"/>
      <c r="K160" s="121"/>
      <c r="L160" s="121"/>
    </row>
    <row r="161" spans="1:12" ht="15">
      <c r="A161" s="121"/>
      <c r="B161" s="437"/>
      <c r="C161" s="191"/>
      <c r="D161" s="191"/>
      <c r="E161" s="186"/>
      <c r="F161" s="240"/>
      <c r="G161" s="121"/>
      <c r="H161" s="121"/>
      <c r="I161" s="121"/>
      <c r="J161" s="121"/>
      <c r="K161" s="121"/>
      <c r="L161" s="121"/>
    </row>
    <row r="162" spans="1:12" ht="15">
      <c r="A162" s="121"/>
      <c r="B162" s="759"/>
      <c r="C162" s="752" t="s">
        <v>638</v>
      </c>
      <c r="D162" s="752"/>
      <c r="E162" s="752"/>
      <c r="F162" s="851">
        <f>SUM(F159:F161)</f>
        <v>-43.93</v>
      </c>
      <c r="G162" s="121"/>
      <c r="H162" s="121"/>
      <c r="I162" s="121"/>
      <c r="J162" s="121"/>
      <c r="K162" s="121"/>
      <c r="L162" s="121"/>
    </row>
    <row r="163" spans="1:12" ht="15">
      <c r="A163" s="121"/>
      <c r="B163" s="437"/>
      <c r="C163" s="191" t="s">
        <v>639</v>
      </c>
      <c r="D163" s="191"/>
      <c r="E163" s="186"/>
      <c r="F163" s="240"/>
      <c r="G163" s="121"/>
      <c r="H163" s="121"/>
      <c r="I163" s="121"/>
      <c r="J163" s="121"/>
      <c r="K163" s="121"/>
      <c r="L163" s="121"/>
    </row>
    <row r="164" spans="1:12" ht="15">
      <c r="A164" s="121"/>
      <c r="B164" s="437">
        <v>44644</v>
      </c>
      <c r="C164" s="191"/>
      <c r="D164" s="191"/>
      <c r="E164" s="186"/>
      <c r="F164" s="240">
        <v>19.45</v>
      </c>
      <c r="G164" s="121"/>
      <c r="H164" s="121"/>
      <c r="I164" s="121"/>
      <c r="J164" s="121"/>
      <c r="K164" s="121"/>
      <c r="L164" s="121"/>
    </row>
    <row r="165" spans="1:12" ht="15">
      <c r="A165" s="121"/>
      <c r="B165" s="437"/>
      <c r="C165" s="191"/>
      <c r="D165" s="191"/>
      <c r="E165" s="186"/>
      <c r="F165" s="240"/>
      <c r="G165" s="121"/>
      <c r="H165" s="121"/>
      <c r="I165" s="121"/>
      <c r="J165" s="121"/>
      <c r="K165" s="121"/>
      <c r="L165" s="121"/>
    </row>
    <row r="166" spans="1:12" ht="15">
      <c r="A166" s="121"/>
      <c r="B166" s="891"/>
      <c r="C166" s="753" t="s">
        <v>640</v>
      </c>
      <c r="D166" s="753"/>
      <c r="E166" s="753"/>
      <c r="F166" s="851">
        <f>SUM(F164)</f>
        <v>19.45</v>
      </c>
      <c r="G166" s="121"/>
      <c r="H166" s="121"/>
      <c r="I166" s="121"/>
      <c r="J166" s="121"/>
      <c r="K166" s="121"/>
      <c r="L166" s="121"/>
    </row>
    <row r="167" spans="1:12" ht="15.75" thickBot="1">
      <c r="A167" s="121"/>
      <c r="B167" s="111">
        <f>B2</f>
        <v>44926</v>
      </c>
      <c r="C167" s="105" t="s">
        <v>2</v>
      </c>
      <c r="D167" s="105"/>
      <c r="E167" s="572"/>
      <c r="F167" s="112">
        <f>F157+F162+F166</f>
        <v>0</v>
      </c>
      <c r="G167" s="121"/>
      <c r="H167" s="121"/>
      <c r="I167" s="121"/>
      <c r="J167" s="121"/>
      <c r="K167" s="121"/>
      <c r="L167" s="121"/>
    </row>
    <row r="168" spans="1:12" ht="15">
      <c r="A168" s="121"/>
      <c r="B168" s="892" t="s">
        <v>647</v>
      </c>
      <c r="C168" s="893"/>
      <c r="D168" s="893"/>
      <c r="E168" s="894"/>
      <c r="F168" s="608"/>
      <c r="G168" s="121"/>
      <c r="H168" s="121"/>
      <c r="I168" s="121"/>
      <c r="J168" s="121"/>
      <c r="K168" s="121"/>
      <c r="L168" s="121"/>
    </row>
    <row r="169" spans="1:12" ht="15">
      <c r="A169" s="121"/>
      <c r="B169" s="892" t="s">
        <v>648</v>
      </c>
      <c r="C169" s="893"/>
      <c r="D169" s="893"/>
      <c r="E169" s="894"/>
      <c r="F169" s="608"/>
      <c r="G169" s="121"/>
      <c r="H169" s="121"/>
      <c r="I169" s="121"/>
      <c r="J169" s="121"/>
      <c r="K169" s="121"/>
      <c r="L169" s="121"/>
    </row>
    <row r="170" spans="2:6" s="121" customFormat="1" ht="15.75" thickBot="1">
      <c r="B170" s="472"/>
      <c r="C170" s="149"/>
      <c r="D170" s="149"/>
      <c r="E170" s="698"/>
      <c r="F170" s="474"/>
    </row>
    <row r="171" spans="2:6" ht="15">
      <c r="B171" s="255" t="s">
        <v>631</v>
      </c>
      <c r="C171" s="203"/>
      <c r="D171" s="203"/>
      <c r="E171" s="447" t="s">
        <v>243</v>
      </c>
      <c r="F171" s="444"/>
    </row>
    <row r="172" spans="2:6" ht="0" customHeight="1" hidden="1">
      <c r="B172" s="119">
        <v>44196</v>
      </c>
      <c r="C172" s="262" t="s">
        <v>633</v>
      </c>
      <c r="D172" s="130"/>
      <c r="E172" s="262"/>
      <c r="F172" s="173">
        <f>'proj 2021'!F189</f>
        <v>1020.460000000009</v>
      </c>
    </row>
    <row r="173" spans="2:6" ht="15" hidden="1">
      <c r="B173" s="820"/>
      <c r="C173" s="821" t="s">
        <v>595</v>
      </c>
      <c r="D173" s="752"/>
      <c r="E173" s="822"/>
      <c r="F173" s="760"/>
    </row>
    <row r="174" spans="2:6" ht="15" hidden="1">
      <c r="B174" s="406"/>
      <c r="C174" s="241"/>
      <c r="D174" s="263"/>
      <c r="E174" s="248"/>
      <c r="F174" s="240"/>
    </row>
    <row r="175" spans="2:6" ht="15" hidden="1">
      <c r="B175" s="845"/>
      <c r="C175" s="846" t="s">
        <v>596</v>
      </c>
      <c r="D175" s="847"/>
      <c r="E175" s="848"/>
      <c r="F175" s="849"/>
    </row>
    <row r="176" spans="2:6" ht="15" hidden="1">
      <c r="B176" s="406">
        <v>44280</v>
      </c>
      <c r="C176" s="241" t="s">
        <v>599</v>
      </c>
      <c r="D176" s="263"/>
      <c r="E176" s="248"/>
      <c r="F176" s="240">
        <v>-200</v>
      </c>
    </row>
    <row r="177" spans="2:6" ht="15" hidden="1">
      <c r="B177" s="845"/>
      <c r="C177" s="846"/>
      <c r="D177" s="847"/>
      <c r="E177" s="848"/>
      <c r="F177" s="849"/>
    </row>
    <row r="178" spans="2:6" ht="15.75" thickBot="1">
      <c r="B178" s="823">
        <v>44561</v>
      </c>
      <c r="C178" s="824" t="s">
        <v>631</v>
      </c>
      <c r="D178" s="699"/>
      <c r="E178" s="825"/>
      <c r="F178" s="112">
        <f>'proj 2021'!F195</f>
        <v>820.460000000009</v>
      </c>
    </row>
    <row r="179" spans="2:6" ht="15">
      <c r="B179" s="820"/>
      <c r="C179" s="821" t="s">
        <v>641</v>
      </c>
      <c r="D179" s="752"/>
      <c r="E179" s="822"/>
      <c r="F179" s="760"/>
    </row>
    <row r="180" spans="1:7" ht="15">
      <c r="A180" s="150"/>
      <c r="B180" s="406"/>
      <c r="C180" s="241"/>
      <c r="D180" s="263"/>
      <c r="E180" s="248"/>
      <c r="F180" s="240"/>
      <c r="G180" s="150"/>
    </row>
    <row r="181" spans="1:7" ht="15">
      <c r="A181" s="150"/>
      <c r="B181" s="845"/>
      <c r="C181" s="846" t="s">
        <v>642</v>
      </c>
      <c r="D181" s="847"/>
      <c r="E181" s="848"/>
      <c r="F181" s="849"/>
      <c r="G181" s="150"/>
    </row>
    <row r="182" spans="1:7" ht="15">
      <c r="A182" s="150"/>
      <c r="B182" s="406"/>
      <c r="C182" s="241"/>
      <c r="D182" s="263"/>
      <c r="E182" s="248"/>
      <c r="F182" s="240"/>
      <c r="G182" s="150"/>
    </row>
    <row r="183" spans="1:7" ht="15">
      <c r="A183" s="150"/>
      <c r="B183" s="845"/>
      <c r="C183" s="846"/>
      <c r="D183" s="847"/>
      <c r="E183" s="848"/>
      <c r="F183" s="849"/>
      <c r="G183" s="150"/>
    </row>
    <row r="184" spans="1:7" ht="15.75" thickBot="1">
      <c r="A184" s="150"/>
      <c r="B184" s="823">
        <v>44926</v>
      </c>
      <c r="C184" s="824" t="s">
        <v>631</v>
      </c>
      <c r="D184" s="699"/>
      <c r="E184" s="825"/>
      <c r="F184" s="112">
        <f>F178+F180+F182</f>
        <v>820.460000000009</v>
      </c>
      <c r="G184" s="150"/>
    </row>
    <row r="185" spans="1:7" ht="15">
      <c r="A185" s="150"/>
      <c r="B185" s="230"/>
      <c r="C185" s="230"/>
      <c r="D185" s="473"/>
      <c r="E185" s="227"/>
      <c r="F185" s="227"/>
      <c r="G185" s="150"/>
    </row>
    <row r="186" spans="1:7" ht="15">
      <c r="A186" s="150"/>
      <c r="B186" s="230"/>
      <c r="C186" s="230"/>
      <c r="D186" s="473"/>
      <c r="E186" s="227"/>
      <c r="F186" s="227"/>
      <c r="G186" s="150"/>
    </row>
    <row r="187" spans="1:7" ht="12.75">
      <c r="A187" s="150"/>
      <c r="B187" s="150"/>
      <c r="C187" s="150"/>
      <c r="D187" s="150"/>
      <c r="E187" s="150"/>
      <c r="F187" s="150"/>
      <c r="G187" s="150"/>
    </row>
  </sheetData>
  <sheetProtection/>
  <printOptions/>
  <pageMargins left="0.7" right="0.7" top="0.75" bottom="0.75" header="0.3" footer="0.3"/>
  <pageSetup fitToHeight="1" fitToWidth="1" horizontalDpi="360" verticalDpi="36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7">
      <selection activeCell="I43" sqref="I43"/>
    </sheetView>
  </sheetViews>
  <sheetFormatPr defaultColWidth="9.140625" defaultRowHeight="12.75"/>
  <cols>
    <col min="1" max="1" width="33.421875" style="0" customWidth="1"/>
    <col min="2" max="2" width="6.28125" style="0" customWidth="1"/>
    <col min="3" max="4" width="20.00390625" style="0" customWidth="1"/>
    <col min="5" max="5" width="6.57421875" style="0" customWidth="1"/>
    <col min="6" max="6" width="35.00390625" style="0" customWidth="1"/>
    <col min="7" max="7" width="7.8515625" style="0" customWidth="1"/>
    <col min="8" max="8" width="16.00390625" style="0" customWidth="1"/>
    <col min="9" max="9" width="17.00390625" style="0" customWidth="1"/>
    <col min="11" max="11" width="24.7109375" style="0" customWidth="1"/>
    <col min="13" max="13" width="15.57421875" style="0" customWidth="1"/>
  </cols>
  <sheetData>
    <row r="1" spans="1:9" ht="17.25">
      <c r="A1" s="294" t="s">
        <v>168</v>
      </c>
      <c r="B1" s="295"/>
      <c r="C1" s="295"/>
      <c r="D1" s="295"/>
      <c r="E1" s="296"/>
      <c r="F1" s="297"/>
      <c r="G1" s="297"/>
      <c r="H1" s="297"/>
      <c r="I1" s="809"/>
    </row>
    <row r="2" spans="1:9" ht="21" thickBot="1">
      <c r="A2" s="857" t="s">
        <v>624</v>
      </c>
      <c r="B2" s="23"/>
      <c r="C2" s="191" t="s">
        <v>625</v>
      </c>
      <c r="D2" s="191"/>
      <c r="E2" s="855"/>
      <c r="F2" s="856"/>
      <c r="G2" s="856"/>
      <c r="H2" s="856"/>
      <c r="I2" s="858"/>
    </row>
    <row r="3" spans="1:9" ht="15">
      <c r="A3" s="306"/>
      <c r="B3" s="307"/>
      <c r="C3" s="307"/>
      <c r="D3" s="307"/>
      <c r="E3" s="308"/>
      <c r="F3" s="309"/>
      <c r="G3" s="309"/>
      <c r="H3" s="309"/>
      <c r="I3" s="512"/>
    </row>
    <row r="4" spans="1:9" ht="15">
      <c r="A4" s="900" t="s">
        <v>626</v>
      </c>
      <c r="B4" s="901"/>
      <c r="C4" s="901"/>
      <c r="D4" s="901"/>
      <c r="E4" s="901"/>
      <c r="F4" s="901"/>
      <c r="G4" s="901"/>
      <c r="H4" s="901"/>
      <c r="I4" s="902"/>
    </row>
    <row r="5" spans="1:9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/>
      <c r="I5" s="513"/>
    </row>
    <row r="6" spans="1:9" ht="15">
      <c r="A6" s="213"/>
      <c r="B6" s="39"/>
      <c r="C6" s="656">
        <v>44561</v>
      </c>
      <c r="D6" s="322">
        <v>44196</v>
      </c>
      <c r="E6" s="33"/>
      <c r="F6" s="324"/>
      <c r="G6" s="324"/>
      <c r="H6" s="323">
        <v>44561</v>
      </c>
      <c r="I6" s="325">
        <v>44196</v>
      </c>
    </row>
    <row r="7" spans="1:9" ht="15">
      <c r="A7" s="213"/>
      <c r="B7" s="39"/>
      <c r="C7" s="24"/>
      <c r="D7" s="39"/>
      <c r="E7" s="33"/>
      <c r="F7" s="324"/>
      <c r="G7" s="324"/>
      <c r="H7" s="24"/>
      <c r="I7" s="58"/>
    </row>
    <row r="8" spans="1:13" ht="15">
      <c r="A8" s="213" t="s">
        <v>522</v>
      </c>
      <c r="B8" s="39"/>
      <c r="C8" s="214">
        <f>'31 dec 2020'!C13</f>
        <v>0</v>
      </c>
      <c r="D8" s="215">
        <v>0</v>
      </c>
      <c r="E8" s="33"/>
      <c r="F8" s="388" t="s">
        <v>631</v>
      </c>
      <c r="G8" s="388"/>
      <c r="H8" s="388">
        <f>-SUM(H10:H18)+H20</f>
        <v>820.4599999999991</v>
      </c>
      <c r="I8" s="515">
        <v>1019.9599999999991</v>
      </c>
      <c r="K8" s="150"/>
      <c r="L8" s="150"/>
      <c r="M8" s="150"/>
    </row>
    <row r="9" spans="1:13" ht="15">
      <c r="A9" s="213" t="s">
        <v>293</v>
      </c>
      <c r="B9" s="39"/>
      <c r="C9" s="214">
        <f>'31 dec 2021'!C12</f>
        <v>9805.36</v>
      </c>
      <c r="D9" s="215">
        <v>4544.91</v>
      </c>
      <c r="E9" s="33"/>
      <c r="F9" s="331"/>
      <c r="G9" s="331"/>
      <c r="H9" s="24"/>
      <c r="I9" s="58"/>
      <c r="K9" s="150"/>
      <c r="L9" s="150"/>
      <c r="M9" s="150"/>
    </row>
    <row r="10" spans="1:13" ht="15">
      <c r="A10" s="711"/>
      <c r="B10" s="24"/>
      <c r="C10" s="214"/>
      <c r="D10" s="215"/>
      <c r="E10" s="33"/>
      <c r="F10" s="331"/>
      <c r="G10" s="401"/>
      <c r="H10" s="869"/>
      <c r="I10" s="842">
        <v>0</v>
      </c>
      <c r="K10" s="630"/>
      <c r="L10" s="630"/>
      <c r="M10" s="630"/>
    </row>
    <row r="11" spans="1:13" ht="15">
      <c r="A11" s="237"/>
      <c r="B11" s="24"/>
      <c r="C11" s="214"/>
      <c r="D11" s="215"/>
      <c r="E11" s="33"/>
      <c r="F11" s="331" t="str">
        <f>'31 dec 2019'!E19</f>
        <v>*Reservering diversen</v>
      </c>
      <c r="G11" s="401">
        <f>'31 dec 2019'!F19</f>
        <v>4</v>
      </c>
      <c r="H11" s="235">
        <f>'proj 2021'!F47</f>
        <v>80.7</v>
      </c>
      <c r="I11" s="265">
        <v>0.10000000000002274</v>
      </c>
      <c r="K11" s="253"/>
      <c r="L11" s="253"/>
      <c r="M11" s="150"/>
    </row>
    <row r="12" spans="1:13" ht="15">
      <c r="A12" s="213" t="s">
        <v>73</v>
      </c>
      <c r="B12" s="39"/>
      <c r="C12" s="214">
        <f>'31 dec 2021'!C17</f>
        <v>12121.65</v>
      </c>
      <c r="D12" s="215">
        <v>12999.529999999999</v>
      </c>
      <c r="E12" s="33"/>
      <c r="F12" s="331"/>
      <c r="G12" s="401"/>
      <c r="H12" s="587"/>
      <c r="I12" s="578"/>
      <c r="K12" s="253"/>
      <c r="L12" s="401"/>
      <c r="M12" s="627"/>
    </row>
    <row r="13" spans="1:13" ht="15">
      <c r="A13" s="711"/>
      <c r="B13" s="214"/>
      <c r="C13" s="215"/>
      <c r="D13" s="24"/>
      <c r="E13" s="33"/>
      <c r="F13" s="331" t="str">
        <f>'31 dec 2019'!E22</f>
        <v>*Te besteden 50 dingen boekje</v>
      </c>
      <c r="G13" s="401">
        <f>'31 dec 2019'!F22</f>
        <v>7</v>
      </c>
      <c r="H13" s="252">
        <f>'proj 2021'!F85</f>
        <v>12121.650000000001</v>
      </c>
      <c r="I13" s="578">
        <v>12999.53</v>
      </c>
      <c r="K13" s="253"/>
      <c r="L13" s="401"/>
      <c r="M13" s="235"/>
    </row>
    <row r="14" spans="1:13" ht="15">
      <c r="A14" s="237"/>
      <c r="B14" s="24"/>
      <c r="C14" s="24"/>
      <c r="D14" s="24"/>
      <c r="E14" s="33"/>
      <c r="F14" s="331" t="str">
        <f>'31 dec 2019'!E23</f>
        <v>*Basisonderwijs/st. Ronde Venen fonds</v>
      </c>
      <c r="G14" s="401">
        <f>'31 dec 2019'!F23</f>
        <v>8</v>
      </c>
      <c r="H14" s="252">
        <f>'proj 2021'!F100</f>
        <v>8503.84</v>
      </c>
      <c r="I14" s="578">
        <v>1250</v>
      </c>
      <c r="K14" s="253"/>
      <c r="L14" s="401"/>
      <c r="M14" s="252"/>
    </row>
    <row r="15" spans="1:13" ht="15">
      <c r="A15" s="238"/>
      <c r="B15" s="224"/>
      <c r="C15" s="224"/>
      <c r="D15" s="24"/>
      <c r="E15" s="33"/>
      <c r="F15" s="331"/>
      <c r="G15" s="401"/>
      <c r="H15" s="252"/>
      <c r="I15" s="578">
        <v>0</v>
      </c>
      <c r="K15" s="253"/>
      <c r="L15" s="401"/>
      <c r="M15" s="150"/>
    </row>
    <row r="16" spans="1:13" ht="15">
      <c r="A16" s="238"/>
      <c r="B16" s="224"/>
      <c r="C16" s="224"/>
      <c r="D16" s="24"/>
      <c r="E16" s="33"/>
      <c r="F16" s="331"/>
      <c r="G16" s="401"/>
      <c r="H16" s="235"/>
      <c r="I16" s="265">
        <v>0</v>
      </c>
      <c r="K16" s="253"/>
      <c r="L16" s="401"/>
      <c r="M16" s="252"/>
    </row>
    <row r="17" spans="1:13" ht="15">
      <c r="A17" s="213"/>
      <c r="B17" s="39"/>
      <c r="C17" s="39"/>
      <c r="D17" s="24"/>
      <c r="E17" s="33"/>
      <c r="F17" s="331" t="str">
        <f>'31 dec 2019'!E27</f>
        <v>*Ontwikkeling NME (1)</v>
      </c>
      <c r="G17" s="401">
        <f>'31 dec 2019'!F27</f>
        <v>12</v>
      </c>
      <c r="H17" s="235">
        <f>'proj 2021'!F121</f>
        <v>375.8799999999999</v>
      </c>
      <c r="I17" s="265">
        <v>2274.85</v>
      </c>
      <c r="K17" s="253"/>
      <c r="L17" s="401"/>
      <c r="M17" s="252"/>
    </row>
    <row r="18" spans="1:13" ht="15">
      <c r="A18" s="213"/>
      <c r="B18" s="39"/>
      <c r="C18" s="39"/>
      <c r="D18" s="24"/>
      <c r="E18" s="33"/>
      <c r="F18" s="331" t="str">
        <f>'31 dec 2019'!E28</f>
        <v>Izettle</v>
      </c>
      <c r="G18" s="401">
        <f>'31 dec 2019'!F28</f>
        <v>13</v>
      </c>
      <c r="H18" s="214">
        <f>'proj 2021'!F176</f>
        <v>24.480000000000018</v>
      </c>
      <c r="I18" s="216">
        <v>0</v>
      </c>
      <c r="K18" s="253"/>
      <c r="L18" s="401"/>
      <c r="M18" s="235"/>
    </row>
    <row r="19" spans="1:13" ht="15" thickBot="1">
      <c r="A19" s="349"/>
      <c r="B19" s="350"/>
      <c r="C19" s="350"/>
      <c r="D19" s="351"/>
      <c r="E19" s="352"/>
      <c r="F19" s="860"/>
      <c r="G19" s="861"/>
      <c r="H19" s="862"/>
      <c r="I19" s="218"/>
      <c r="K19" s="253"/>
      <c r="L19" s="401"/>
      <c r="M19" s="235"/>
    </row>
    <row r="20" spans="1:13" ht="15">
      <c r="A20" s="859" t="s">
        <v>205</v>
      </c>
      <c r="B20" s="215"/>
      <c r="C20" s="215">
        <f>SUM(C8:C14)</f>
        <v>21927.010000000002</v>
      </c>
      <c r="D20" s="215">
        <v>17544.44</v>
      </c>
      <c r="E20" s="33"/>
      <c r="F20" s="39"/>
      <c r="G20" s="39"/>
      <c r="H20" s="215">
        <f>C20</f>
        <v>21927.010000000002</v>
      </c>
      <c r="I20" s="267">
        <v>17544.44</v>
      </c>
      <c r="K20" s="253"/>
      <c r="L20" s="401"/>
      <c r="M20" s="235"/>
    </row>
    <row r="21" spans="1:13" ht="15">
      <c r="A21" s="213"/>
      <c r="B21" s="39"/>
      <c r="C21" s="39"/>
      <c r="D21" s="39"/>
      <c r="E21" s="33"/>
      <c r="F21" s="215"/>
      <c r="G21" s="39"/>
      <c r="H21" s="39"/>
      <c r="I21" s="212"/>
      <c r="K21" s="253"/>
      <c r="L21" s="401"/>
      <c r="M21" s="235"/>
    </row>
    <row r="22" spans="1:13" ht="15" thickBot="1">
      <c r="A22" s="349" t="s">
        <v>412</v>
      </c>
      <c r="B22" s="351"/>
      <c r="C22" s="351"/>
      <c r="D22" s="217">
        <f>C20-D20</f>
        <v>4382.570000000003</v>
      </c>
      <c r="E22" s="352"/>
      <c r="F22" s="350"/>
      <c r="G22" s="350"/>
      <c r="H22" s="350"/>
      <c r="I22" s="654"/>
      <c r="K22" s="235"/>
      <c r="L22" s="150"/>
      <c r="M22" s="150"/>
    </row>
    <row r="23" spans="1:9" ht="15">
      <c r="A23" s="900"/>
      <c r="B23" s="901"/>
      <c r="C23" s="901"/>
      <c r="D23" s="901"/>
      <c r="E23" s="901"/>
      <c r="F23" s="901"/>
      <c r="G23" s="901"/>
      <c r="H23" s="901"/>
      <c r="I23" s="901"/>
    </row>
    <row r="24" spans="1:9" ht="13.5">
      <c r="A24" s="362"/>
      <c r="B24" s="363"/>
      <c r="C24" s="363"/>
      <c r="D24" s="363"/>
      <c r="E24" s="365"/>
      <c r="F24" s="317"/>
      <c r="G24" s="317"/>
      <c r="H24" s="317"/>
      <c r="I24" s="317"/>
    </row>
    <row r="26" ht="13.5" thickBot="1"/>
    <row r="27" spans="1:9" ht="15">
      <c r="A27" s="903" t="s">
        <v>627</v>
      </c>
      <c r="B27" s="904"/>
      <c r="C27" s="904"/>
      <c r="D27" s="904"/>
      <c r="E27" s="904"/>
      <c r="F27" s="904"/>
      <c r="G27" s="904"/>
      <c r="H27" s="904"/>
      <c r="I27" s="905"/>
    </row>
    <row r="28" spans="1:9" ht="13.5">
      <c r="A28" s="362" t="s">
        <v>175</v>
      </c>
      <c r="B28" s="363"/>
      <c r="C28" s="363"/>
      <c r="D28" s="363"/>
      <c r="E28" s="365"/>
      <c r="F28" s="317" t="s">
        <v>176</v>
      </c>
      <c r="G28" s="317"/>
      <c r="H28" s="317"/>
      <c r="I28" s="513"/>
    </row>
    <row r="29" spans="1:11" ht="12.75">
      <c r="A29" s="26"/>
      <c r="B29" s="24"/>
      <c r="C29" s="24">
        <v>2021</v>
      </c>
      <c r="D29" s="24">
        <v>2020</v>
      </c>
      <c r="E29" s="368"/>
      <c r="F29" s="24"/>
      <c r="G29" s="24"/>
      <c r="H29" s="24">
        <v>2021</v>
      </c>
      <c r="I29" s="58">
        <v>2020</v>
      </c>
      <c r="K29" s="24"/>
    </row>
    <row r="30" spans="1:9" ht="13.5">
      <c r="A30" s="49"/>
      <c r="B30" s="20"/>
      <c r="C30" s="24"/>
      <c r="D30" s="24"/>
      <c r="E30" s="24"/>
      <c r="F30" s="39"/>
      <c r="G30" s="20"/>
      <c r="H30" s="214"/>
      <c r="I30" s="216"/>
    </row>
    <row r="31" spans="1:13" ht="12.75">
      <c r="A31" s="213" t="s">
        <v>67</v>
      </c>
      <c r="B31" s="224" t="s">
        <v>112</v>
      </c>
      <c r="C31" s="24"/>
      <c r="D31" s="214"/>
      <c r="E31" s="39"/>
      <c r="F31" s="39" t="s">
        <v>211</v>
      </c>
      <c r="G31" s="39" t="s">
        <v>112</v>
      </c>
      <c r="H31" s="214">
        <f>'proj 2021'!F43</f>
        <v>-119.40000000000002</v>
      </c>
      <c r="I31" s="216">
        <v>-119.37</v>
      </c>
      <c r="K31" s="150"/>
      <c r="L31" s="150"/>
      <c r="M31" s="150"/>
    </row>
    <row r="32" spans="1:13" ht="12.75">
      <c r="A32" s="213"/>
      <c r="B32" s="224"/>
      <c r="C32" s="150"/>
      <c r="D32" s="214"/>
      <c r="E32" s="39"/>
      <c r="F32" s="39" t="str">
        <f>'project 2020'!B41</f>
        <v>Herinrichting Ruimte</v>
      </c>
      <c r="G32" s="224" t="s">
        <v>585</v>
      </c>
      <c r="H32" s="214"/>
      <c r="I32" s="216">
        <v>0</v>
      </c>
      <c r="K32" s="150"/>
      <c r="L32" s="150"/>
      <c r="M32" s="150"/>
    </row>
    <row r="33" spans="1:13" ht="12.75">
      <c r="A33" s="28" t="s">
        <v>83</v>
      </c>
      <c r="B33" s="150" t="s">
        <v>115</v>
      </c>
      <c r="C33" s="252">
        <f>'proj 2021'!F84</f>
        <v>11.53</v>
      </c>
      <c r="D33" s="214">
        <v>39.1</v>
      </c>
      <c r="E33" s="39"/>
      <c r="F33" s="39" t="s">
        <v>83</v>
      </c>
      <c r="G33" s="150" t="s">
        <v>115</v>
      </c>
      <c r="H33" s="214">
        <f>'proj 2021'!F79</f>
        <v>-889.41</v>
      </c>
      <c r="I33" s="216">
        <v>-10902.73</v>
      </c>
      <c r="K33" s="150"/>
      <c r="L33" s="150"/>
      <c r="M33" s="150"/>
    </row>
    <row r="34" spans="1:13" ht="12.75">
      <c r="A34" s="213" t="s">
        <v>88</v>
      </c>
      <c r="B34" s="150" t="s">
        <v>116</v>
      </c>
      <c r="C34" s="252">
        <f>'proj 2021'!F99</f>
        <v>8371.84</v>
      </c>
      <c r="D34" s="214">
        <v>0</v>
      </c>
      <c r="E34" s="39"/>
      <c r="F34" s="322" t="s">
        <v>153</v>
      </c>
      <c r="G34" s="220" t="s">
        <v>116</v>
      </c>
      <c r="H34" s="214">
        <f>'proj 2021'!F90</f>
        <v>-1118</v>
      </c>
      <c r="I34" s="216">
        <v>0</v>
      </c>
      <c r="K34" s="150"/>
      <c r="L34" s="150"/>
      <c r="M34" s="150"/>
    </row>
    <row r="35" spans="1:13" ht="12.75">
      <c r="A35" s="213"/>
      <c r="B35" s="150"/>
      <c r="C35" s="235"/>
      <c r="D35" s="214"/>
      <c r="E35" s="39"/>
      <c r="F35" s="322"/>
      <c r="G35" s="220"/>
      <c r="H35" s="656"/>
      <c r="I35" s="216">
        <v>0</v>
      </c>
      <c r="K35" s="150"/>
      <c r="L35" s="150"/>
      <c r="M35" s="150"/>
    </row>
    <row r="36" spans="1:13" ht="12.75">
      <c r="A36" s="389" t="s">
        <v>226</v>
      </c>
      <c r="B36" s="220" t="s">
        <v>141</v>
      </c>
      <c r="C36" s="252">
        <f>'proj 2021'!F120</f>
        <v>351.03</v>
      </c>
      <c r="D36" s="214">
        <v>248.85</v>
      </c>
      <c r="E36" s="39"/>
      <c r="F36" s="39" t="s">
        <v>226</v>
      </c>
      <c r="G36" s="39" t="s">
        <v>141</v>
      </c>
      <c r="H36" s="214">
        <f>'proj 2021'!F116</f>
        <v>-2250</v>
      </c>
      <c r="I36" s="58"/>
      <c r="K36" s="150"/>
      <c r="L36" s="150"/>
      <c r="M36" s="150"/>
    </row>
    <row r="37" spans="1:13" ht="12.75">
      <c r="A37" s="389" t="s">
        <v>518</v>
      </c>
      <c r="B37" s="224" t="s">
        <v>520</v>
      </c>
      <c r="C37" s="235">
        <f>'proj 2021'!F175</f>
        <v>563.58</v>
      </c>
      <c r="D37" s="508">
        <v>279.59</v>
      </c>
      <c r="E37" s="331"/>
      <c r="F37" s="24" t="str">
        <f>'31 dec 2019'!E28</f>
        <v>Izettle</v>
      </c>
      <c r="G37" s="39" t="s">
        <v>520</v>
      </c>
      <c r="H37" s="214">
        <f>'proj 2021'!F159</f>
        <v>-538.6</v>
      </c>
      <c r="I37" s="216">
        <v>-279.59</v>
      </c>
      <c r="K37" s="150"/>
      <c r="L37" s="150"/>
      <c r="M37" s="150"/>
    </row>
    <row r="38" spans="1:13" ht="13.5" thickBot="1">
      <c r="A38" s="863"/>
      <c r="B38" s="726"/>
      <c r="C38" s="24"/>
      <c r="D38" s="726"/>
      <c r="E38" s="338"/>
      <c r="F38" s="335"/>
      <c r="G38" s="335"/>
      <c r="H38" s="335"/>
      <c r="I38" s="386"/>
      <c r="K38" s="150"/>
      <c r="L38" s="150"/>
      <c r="M38" s="150"/>
    </row>
    <row r="39" spans="1:13" ht="15">
      <c r="A39" s="864" t="s">
        <v>219</v>
      </c>
      <c r="B39" s="733"/>
      <c r="C39" s="734">
        <f>SUM(C31:C38)</f>
        <v>9297.980000000001</v>
      </c>
      <c r="D39" s="734">
        <f>SUM(D32:D37)</f>
        <v>567.54</v>
      </c>
      <c r="E39" s="735"/>
      <c r="F39" s="733" t="s">
        <v>218</v>
      </c>
      <c r="G39" s="733"/>
      <c r="H39" s="736">
        <f>SUM(H30:H37)</f>
        <v>-4915.41</v>
      </c>
      <c r="I39" s="865">
        <v>-11301.69</v>
      </c>
      <c r="K39" s="497"/>
      <c r="L39" s="150"/>
      <c r="M39" s="150"/>
    </row>
    <row r="40" spans="1:13" ht="15">
      <c r="A40" s="26"/>
      <c r="B40" s="24"/>
      <c r="C40" s="24"/>
      <c r="D40" s="24"/>
      <c r="E40" s="331"/>
      <c r="F40" s="391" t="s">
        <v>629</v>
      </c>
      <c r="G40" s="391"/>
      <c r="H40" s="392">
        <f>C39+H39</f>
        <v>4382.5700000000015</v>
      </c>
      <c r="I40" s="658"/>
      <c r="K40" s="150"/>
      <c r="L40" s="150"/>
      <c r="M40" s="150"/>
    </row>
    <row r="41" spans="1:13" ht="13.5">
      <c r="A41" s="213"/>
      <c r="B41" s="24"/>
      <c r="C41" s="214"/>
      <c r="D41" s="24"/>
      <c r="E41" s="331"/>
      <c r="F41" s="712" t="s">
        <v>630</v>
      </c>
      <c r="G41" s="712"/>
      <c r="H41" s="713"/>
      <c r="I41" s="866">
        <f>D39+I39</f>
        <v>-10734.150000000001</v>
      </c>
      <c r="K41" s="235"/>
      <c r="L41" s="150"/>
      <c r="M41" s="150"/>
    </row>
    <row r="42" spans="1:13" ht="12.75">
      <c r="A42" s="867"/>
      <c r="B42" s="730"/>
      <c r="C42" s="730"/>
      <c r="D42" s="336"/>
      <c r="E42" s="338"/>
      <c r="F42" s="730"/>
      <c r="G42" s="730"/>
      <c r="H42" s="730"/>
      <c r="I42" s="868"/>
      <c r="K42" s="150"/>
      <c r="L42" s="150"/>
      <c r="M42" s="150"/>
    </row>
    <row r="43" spans="1:13" ht="13.5">
      <c r="A43" s="49"/>
      <c r="B43" s="20"/>
      <c r="C43" s="20"/>
      <c r="D43" s="20"/>
      <c r="E43" s="365"/>
      <c r="F43" s="24"/>
      <c r="G43" s="24"/>
      <c r="H43" s="24"/>
      <c r="I43" s="58"/>
      <c r="K43" s="235"/>
      <c r="L43" s="150"/>
      <c r="M43" s="150"/>
    </row>
    <row r="44" spans="1:13" ht="15">
      <c r="A44" s="906" t="s">
        <v>200</v>
      </c>
      <c r="B44" s="907"/>
      <c r="C44" s="907"/>
      <c r="D44" s="907"/>
      <c r="E44" s="907"/>
      <c r="F44" s="907"/>
      <c r="G44" s="907"/>
      <c r="H44" s="907"/>
      <c r="I44" s="908"/>
      <c r="K44" s="495"/>
      <c r="L44" s="150"/>
      <c r="M44" s="150"/>
    </row>
    <row r="45" spans="1:13" ht="13.5">
      <c r="A45" s="380"/>
      <c r="B45" s="381"/>
      <c r="C45" s="381"/>
      <c r="D45" s="381"/>
      <c r="E45" s="365"/>
      <c r="F45" s="24"/>
      <c r="G45" s="24"/>
      <c r="H45" s="24"/>
      <c r="I45" s="58"/>
      <c r="K45" s="235"/>
      <c r="L45" s="150"/>
      <c r="M45" s="150"/>
    </row>
    <row r="46" spans="1:13" ht="12.75">
      <c r="A46" s="909" t="s">
        <v>201</v>
      </c>
      <c r="B46" s="910"/>
      <c r="C46" s="910"/>
      <c r="D46" s="910"/>
      <c r="E46" s="910"/>
      <c r="F46" s="910"/>
      <c r="G46" s="910"/>
      <c r="H46" s="910"/>
      <c r="I46" s="911"/>
      <c r="K46" s="150"/>
      <c r="L46" s="150"/>
      <c r="M46" s="150"/>
    </row>
    <row r="47" spans="1:13" ht="14.25" thickBot="1">
      <c r="A47" s="382"/>
      <c r="B47" s="383"/>
      <c r="C47" s="383"/>
      <c r="D47" s="383"/>
      <c r="E47" s="385"/>
      <c r="F47" s="351"/>
      <c r="G47" s="351"/>
      <c r="H47" s="351"/>
      <c r="I47" s="386"/>
      <c r="K47" s="235"/>
      <c r="L47" s="150"/>
      <c r="M47" s="150"/>
    </row>
    <row r="48" spans="11:13" ht="12.75">
      <c r="K48" s="235"/>
      <c r="L48" s="150"/>
      <c r="M48" s="150"/>
    </row>
    <row r="49" spans="11:13" ht="12.75">
      <c r="K49" s="235"/>
      <c r="L49" s="150"/>
      <c r="M49" s="150"/>
    </row>
    <row r="50" spans="6:13" ht="12.75">
      <c r="F50" s="132"/>
      <c r="H50" s="132"/>
      <c r="K50" s="150"/>
      <c r="L50" s="150"/>
      <c r="M50" s="235"/>
    </row>
    <row r="51" spans="11:13" ht="12.75">
      <c r="K51" s="150"/>
      <c r="L51" s="150"/>
      <c r="M51" s="150"/>
    </row>
  </sheetData>
  <sheetProtection/>
  <mergeCells count="5">
    <mergeCell ref="A4:I4"/>
    <mergeCell ref="A23:I23"/>
    <mergeCell ref="A27:I27"/>
    <mergeCell ref="A44:I44"/>
    <mergeCell ref="A46:I4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D1">
      <selection activeCell="H8" sqref="H8:H25"/>
    </sheetView>
  </sheetViews>
  <sheetFormatPr defaultColWidth="9.140625" defaultRowHeight="12.75"/>
  <cols>
    <col min="1" max="1" width="13.7109375" style="0" customWidth="1"/>
    <col min="2" max="2" width="43.421875" style="0" customWidth="1"/>
    <col min="3" max="3" width="14.7109375" style="0" customWidth="1"/>
    <col min="4" max="4" width="1.7109375" style="0" customWidth="1"/>
    <col min="5" max="5" width="35.00390625" style="0" customWidth="1"/>
    <col min="6" max="6" width="4.140625" style="0" customWidth="1"/>
    <col min="7" max="7" width="14.7109375" style="0" customWidth="1"/>
    <col min="8" max="8" width="15.421875" style="0" customWidth="1"/>
    <col min="9" max="9" width="16.7109375" style="0" customWidth="1"/>
    <col min="10" max="10" width="14.57421875" style="0" customWidth="1"/>
    <col min="11" max="11" width="18.28125" style="0" customWidth="1"/>
    <col min="12" max="12" width="26.8515625" style="0" customWidth="1"/>
    <col min="13" max="13" width="15.00390625" style="0" customWidth="1"/>
  </cols>
  <sheetData>
    <row r="1" ht="30">
      <c r="B1" s="254" t="s">
        <v>142</v>
      </c>
    </row>
    <row r="4" spans="2:3" ht="21">
      <c r="B4" s="171" t="s">
        <v>158</v>
      </c>
      <c r="C4" s="287">
        <v>44561</v>
      </c>
    </row>
    <row r="5" ht="12.75">
      <c r="E5" s="132"/>
    </row>
    <row r="6" spans="2:3" ht="13.5" thickBot="1">
      <c r="B6" s="414"/>
      <c r="C6" s="415"/>
    </row>
    <row r="7" spans="1:13" ht="12.75">
      <c r="A7" s="132"/>
      <c r="B7" s="210"/>
      <c r="C7" s="211"/>
      <c r="D7" s="37"/>
      <c r="E7" s="210"/>
      <c r="F7" s="37"/>
      <c r="G7" s="37" t="s">
        <v>159</v>
      </c>
      <c r="H7" s="211" t="s">
        <v>159</v>
      </c>
      <c r="I7" s="269" t="s">
        <v>161</v>
      </c>
      <c r="J7" s="210" t="s">
        <v>161</v>
      </c>
      <c r="K7" s="877">
        <v>-5175.31</v>
      </c>
      <c r="L7" s="24"/>
      <c r="M7" s="24"/>
    </row>
    <row r="8" spans="1:13" ht="12.75">
      <c r="A8" s="132"/>
      <c r="B8" s="26"/>
      <c r="C8" s="58"/>
      <c r="D8" s="24"/>
      <c r="E8" s="26"/>
      <c r="F8" s="24"/>
      <c r="G8" s="460">
        <f>C4</f>
        <v>44561</v>
      </c>
      <c r="H8" s="461">
        <f>C4</f>
        <v>44561</v>
      </c>
      <c r="I8" s="777">
        <f>C4</f>
        <v>44561</v>
      </c>
      <c r="J8" s="283">
        <f>C4</f>
        <v>44561</v>
      </c>
      <c r="K8" s="878">
        <v>44196</v>
      </c>
      <c r="L8" s="24"/>
      <c r="M8" s="39"/>
    </row>
    <row r="9" spans="1:13" ht="13.5" thickBot="1">
      <c r="A9" s="121"/>
      <c r="B9" s="219" t="s">
        <v>162</v>
      </c>
      <c r="C9" s="58"/>
      <c r="D9" s="24"/>
      <c r="E9" s="219" t="s">
        <v>99</v>
      </c>
      <c r="F9" s="39"/>
      <c r="G9" s="224" t="s">
        <v>102</v>
      </c>
      <c r="H9" s="771" t="s">
        <v>160</v>
      </c>
      <c r="I9" s="778" t="s">
        <v>101</v>
      </c>
      <c r="J9" s="870" t="s">
        <v>100</v>
      </c>
      <c r="K9" s="879" t="s">
        <v>84</v>
      </c>
      <c r="L9" s="224"/>
      <c r="M9" s="224"/>
    </row>
    <row r="10" spans="1:13" ht="12.75">
      <c r="A10" s="595" t="s">
        <v>383</v>
      </c>
      <c r="B10" s="286">
        <f>C4</f>
        <v>44561</v>
      </c>
      <c r="C10" s="58"/>
      <c r="D10" s="24"/>
      <c r="E10" s="682">
        <f>C4</f>
        <v>44561</v>
      </c>
      <c r="F10" s="150"/>
      <c r="G10" s="150"/>
      <c r="H10" s="463"/>
      <c r="I10" s="651"/>
      <c r="J10" s="237"/>
      <c r="K10" s="880"/>
      <c r="L10" s="224"/>
      <c r="M10" s="150"/>
    </row>
    <row r="11" spans="1:13" ht="12.75">
      <c r="A11" s="592">
        <f>'project 2020'!F11</f>
        <v>0</v>
      </c>
      <c r="B11" s="26" t="s">
        <v>264</v>
      </c>
      <c r="C11" s="704">
        <v>0</v>
      </c>
      <c r="D11" s="24"/>
      <c r="E11" s="683"/>
      <c r="F11" s="401"/>
      <c r="G11" s="235"/>
      <c r="H11" s="265"/>
      <c r="I11" s="459"/>
      <c r="J11" s="711"/>
      <c r="K11" s="881"/>
      <c r="L11" s="252"/>
      <c r="M11" s="235"/>
    </row>
    <row r="12" spans="1:13" ht="12.75">
      <c r="A12" s="593">
        <f>'proj 2021'!F47+'proj 2021'!F100+'proj 2021'!F121+'proj 2021'!F176+'proj 2021'!F195</f>
        <v>9805.360000000008</v>
      </c>
      <c r="B12" s="26" t="s">
        <v>266</v>
      </c>
      <c r="C12" s="704">
        <v>9805.36</v>
      </c>
      <c r="D12" s="24"/>
      <c r="E12" s="802" t="str">
        <f>'proj 2021'!B10</f>
        <v>Reservering diversen bankkosten</v>
      </c>
      <c r="F12" s="803" t="str">
        <f>'proj 2021'!E10</f>
        <v>nr.4</v>
      </c>
      <c r="G12" s="627"/>
      <c r="H12" s="774">
        <f aca="true" t="shared" si="0" ref="H12:H20">J12+K12+I12</f>
        <v>80.7</v>
      </c>
      <c r="I12" s="843">
        <f>'proj 2021'!F43</f>
        <v>-119.40000000000002</v>
      </c>
      <c r="J12" s="871">
        <f>'proj 2021'!F46</f>
        <v>200</v>
      </c>
      <c r="K12" s="882">
        <f>'proj 2021'!F29</f>
        <v>0.10000000000002274</v>
      </c>
      <c r="L12" s="252"/>
      <c r="M12" s="252"/>
    </row>
    <row r="13" spans="1:13" ht="15">
      <c r="A13" s="593"/>
      <c r="B13" s="697">
        <f>C12-A12</f>
        <v>0</v>
      </c>
      <c r="C13" s="58"/>
      <c r="D13" s="24"/>
      <c r="E13" s="588"/>
      <c r="F13" s="401"/>
      <c r="G13" s="214"/>
      <c r="H13" s="774">
        <f t="shared" si="0"/>
        <v>0</v>
      </c>
      <c r="I13" s="780"/>
      <c r="J13" s="872"/>
      <c r="K13" s="883"/>
      <c r="L13" s="252"/>
      <c r="M13" s="235"/>
    </row>
    <row r="14" spans="1:13" ht="15">
      <c r="A14" s="592"/>
      <c r="B14" s="697"/>
      <c r="C14" s="216"/>
      <c r="D14" s="24"/>
      <c r="E14" s="799" t="str">
        <f>'proj 2021'!B53</f>
        <v>50 dingen boekje</v>
      </c>
      <c r="F14" s="808" t="str">
        <f>'proj 2021'!E53</f>
        <v>nr.7</v>
      </c>
      <c r="G14" s="587"/>
      <c r="H14" s="774">
        <f t="shared" si="0"/>
        <v>12121.650000000001</v>
      </c>
      <c r="I14" s="800">
        <f>'proj 2021'!F79</f>
        <v>-889.41</v>
      </c>
      <c r="J14" s="873">
        <f>'proj 2021'!F84</f>
        <v>11.53</v>
      </c>
      <c r="K14" s="884">
        <f>'proj 2021'!F73</f>
        <v>12999.53</v>
      </c>
      <c r="L14" s="252"/>
      <c r="M14" s="235"/>
    </row>
    <row r="15" spans="1:13" ht="12.75">
      <c r="A15" s="592"/>
      <c r="B15" s="412"/>
      <c r="C15" s="58"/>
      <c r="D15" s="24"/>
      <c r="E15" s="588"/>
      <c r="F15" s="401"/>
      <c r="G15" s="214"/>
      <c r="H15" s="798"/>
      <c r="I15" s="780"/>
      <c r="J15" s="874"/>
      <c r="K15" s="885"/>
      <c r="L15" s="252"/>
      <c r="M15" s="150"/>
    </row>
    <row r="16" spans="1:13" ht="12.75">
      <c r="A16" s="592"/>
      <c r="B16" s="456"/>
      <c r="C16" s="265"/>
      <c r="D16" s="24"/>
      <c r="E16" s="588" t="str">
        <f>'proj 2021'!B87</f>
        <v>Basis onderwijs</v>
      </c>
      <c r="F16" s="401" t="str">
        <f>'proj 2021'!E87</f>
        <v>nr.8</v>
      </c>
      <c r="G16" s="214"/>
      <c r="H16" s="798">
        <f t="shared" si="0"/>
        <v>8503.84</v>
      </c>
      <c r="I16" s="780">
        <f>'proj 2021'!F93</f>
        <v>-1118</v>
      </c>
      <c r="J16" s="872">
        <f>'proj 2021'!F99</f>
        <v>8371.84</v>
      </c>
      <c r="K16" s="885">
        <f>'proj 2021'!F88</f>
        <v>1250</v>
      </c>
      <c r="L16" s="252"/>
      <c r="M16" s="235"/>
    </row>
    <row r="17" spans="1:13" ht="13.5" thickBot="1">
      <c r="A17" s="594">
        <f>'proj 2021'!F85</f>
        <v>12121.650000000001</v>
      </c>
      <c r="B17" s="688" t="s">
        <v>265</v>
      </c>
      <c r="C17" s="704">
        <v>12121.65</v>
      </c>
      <c r="D17" s="24"/>
      <c r="E17" s="588"/>
      <c r="F17" s="401"/>
      <c r="G17" s="214"/>
      <c r="H17" s="798"/>
      <c r="I17" s="780"/>
      <c r="J17" s="874"/>
      <c r="K17" s="885">
        <f>M17+N17+L17</f>
        <v>0</v>
      </c>
      <c r="L17" s="252"/>
      <c r="M17" s="150"/>
    </row>
    <row r="18" spans="1:13" ht="15.75" thickBot="1">
      <c r="A18" s="594">
        <f>SUM(A11:A17)</f>
        <v>21927.01000000001</v>
      </c>
      <c r="B18" s="697">
        <f>A17-C17</f>
        <v>0</v>
      </c>
      <c r="C18" s="265"/>
      <c r="D18" s="24"/>
      <c r="E18" s="588" t="str">
        <f>'proj 2021'!B110</f>
        <v>Stimulering NME</v>
      </c>
      <c r="F18" s="220" t="str">
        <f>'proj 2021'!E110</f>
        <v>nr 12</v>
      </c>
      <c r="G18" s="214"/>
      <c r="H18" s="798">
        <f t="shared" si="0"/>
        <v>375.8800000000001</v>
      </c>
      <c r="I18" s="780">
        <f>'proj 2021'!F116</f>
        <v>-2250</v>
      </c>
      <c r="J18" s="874">
        <f>'proj 2021'!F120</f>
        <v>351.03</v>
      </c>
      <c r="K18" s="885">
        <f>'proj 2021'!F111</f>
        <v>2274.85</v>
      </c>
      <c r="L18" s="252"/>
      <c r="M18" s="235"/>
    </row>
    <row r="19" spans="1:13" ht="15">
      <c r="A19" s="587"/>
      <c r="B19" s="684"/>
      <c r="C19" s="216"/>
      <c r="D19" s="24"/>
      <c r="E19" s="588"/>
      <c r="F19" s="401"/>
      <c r="G19" s="214"/>
      <c r="H19" s="798"/>
      <c r="I19" s="781"/>
      <c r="J19" s="872"/>
      <c r="K19" s="883"/>
      <c r="L19" s="252"/>
      <c r="M19" s="150"/>
    </row>
    <row r="20" spans="1:13" ht="12.75">
      <c r="A20" s="586"/>
      <c r="B20" s="412"/>
      <c r="C20" s="216"/>
      <c r="D20" s="24"/>
      <c r="E20" s="26" t="str">
        <f>'proj 2021'!B123</f>
        <v>IZETTLE (kas Conny)</v>
      </c>
      <c r="F20" s="24" t="str">
        <f>'proj 2021'!E123</f>
        <v>nr 13</v>
      </c>
      <c r="G20" s="24"/>
      <c r="H20" s="798">
        <f t="shared" si="0"/>
        <v>24.480000000000018</v>
      </c>
      <c r="I20" s="779">
        <f>'proj 2021'!F159</f>
        <v>-538.6</v>
      </c>
      <c r="J20" s="875">
        <f>'proj 2021'!F175</f>
        <v>563.58</v>
      </c>
      <c r="K20" s="883">
        <f>'proj 2021'!F145</f>
        <v>-0.5</v>
      </c>
      <c r="L20" s="252"/>
      <c r="M20" s="235"/>
    </row>
    <row r="21" spans="1:13" ht="12.75">
      <c r="A21" s="587">
        <f>A17-C17</f>
        <v>0</v>
      </c>
      <c r="B21" s="412"/>
      <c r="C21" s="216"/>
      <c r="D21" s="24"/>
      <c r="E21" s="26"/>
      <c r="F21" s="24"/>
      <c r="G21" s="24"/>
      <c r="H21" s="772"/>
      <c r="I21" s="779"/>
      <c r="J21" s="875"/>
      <c r="K21" s="886"/>
      <c r="L21" s="252"/>
      <c r="M21" s="150"/>
    </row>
    <row r="22" spans="1:13" ht="12.75">
      <c r="A22" s="586"/>
      <c r="B22" s="412"/>
      <c r="C22" s="216"/>
      <c r="D22" s="24"/>
      <c r="E22" s="26"/>
      <c r="F22" s="24"/>
      <c r="G22" s="24"/>
      <c r="H22" s="772"/>
      <c r="I22" s="779"/>
      <c r="J22" s="875"/>
      <c r="K22" s="886"/>
      <c r="L22" s="252"/>
      <c r="M22" s="150"/>
    </row>
    <row r="23" spans="1:13" ht="12.75">
      <c r="A23" s="587"/>
      <c r="B23" s="26"/>
      <c r="C23" s="216"/>
      <c r="D23" s="24"/>
      <c r="E23" s="26"/>
      <c r="F23" s="24"/>
      <c r="G23" s="24"/>
      <c r="H23" s="772"/>
      <c r="I23" s="779"/>
      <c r="J23" s="875"/>
      <c r="K23" s="886"/>
      <c r="L23" s="235"/>
      <c r="M23" s="235"/>
    </row>
    <row r="24" spans="1:13" ht="13.5" thickBot="1">
      <c r="A24" s="685">
        <f>A18-C25</f>
        <v>0</v>
      </c>
      <c r="B24" s="585"/>
      <c r="C24" s="218"/>
      <c r="D24" s="24"/>
      <c r="E24" s="590" t="s">
        <v>633</v>
      </c>
      <c r="F24" s="99" t="s">
        <v>243</v>
      </c>
      <c r="G24" s="591">
        <f>'proj 2021'!F195</f>
        <v>820.460000000009</v>
      </c>
      <c r="H24" s="775"/>
      <c r="I24" s="780"/>
      <c r="J24" s="872"/>
      <c r="K24" s="887">
        <f>'proj 2021'!F195</f>
        <v>820.460000000009</v>
      </c>
      <c r="L24" s="215"/>
      <c r="M24" s="24"/>
    </row>
    <row r="25" spans="2:13" ht="15.75" thickBot="1">
      <c r="B25" s="206" t="s">
        <v>319</v>
      </c>
      <c r="C25" s="458">
        <f>SUM(C10:C24)</f>
        <v>21927.010000000002</v>
      </c>
      <c r="D25" s="208"/>
      <c r="E25" s="206" t="s">
        <v>79</v>
      </c>
      <c r="F25" s="208"/>
      <c r="G25" s="207">
        <f>G24</f>
        <v>820.460000000009</v>
      </c>
      <c r="H25" s="776">
        <f>SUM(H10:H24)</f>
        <v>21106.550000000003</v>
      </c>
      <c r="I25" s="782">
        <f>SUM(I11:I24)</f>
        <v>-4915.41</v>
      </c>
      <c r="J25" s="876">
        <f>SUM(J11:J24)</f>
        <v>9497.980000000001</v>
      </c>
      <c r="K25" s="888">
        <f>SUM(K10:K24)</f>
        <v>17344.44000000001</v>
      </c>
      <c r="L25" s="214"/>
      <c r="M25" s="214"/>
    </row>
    <row r="26" spans="1:13" ht="13.5" thickBot="1">
      <c r="A26" s="132"/>
      <c r="B26" s="546"/>
      <c r="C26" s="547"/>
      <c r="E26" s="132"/>
      <c r="G26" s="236"/>
      <c r="H26" s="132"/>
      <c r="I26" s="581"/>
      <c r="J26" s="581"/>
      <c r="K26" s="132"/>
      <c r="L26" s="132"/>
      <c r="M26" s="132"/>
    </row>
    <row r="27" spans="2:13" ht="15">
      <c r="B27" s="482" t="s">
        <v>285</v>
      </c>
      <c r="C27" s="483">
        <f>H25</f>
        <v>21106.550000000003</v>
      </c>
      <c r="D27" s="121"/>
      <c r="E27" s="133"/>
      <c r="F27" s="256"/>
      <c r="G27" s="690"/>
      <c r="H27" s="690"/>
      <c r="I27" s="685"/>
      <c r="J27" s="133"/>
      <c r="K27" s="844"/>
      <c r="L27" s="844"/>
      <c r="M27" s="121"/>
    </row>
    <row r="28" spans="1:13" ht="12.75">
      <c r="A28" s="132"/>
      <c r="B28" s="484"/>
      <c r="C28" s="457"/>
      <c r="D28" s="121"/>
      <c r="E28" s="133"/>
      <c r="F28" s="121"/>
      <c r="G28" s="282"/>
      <c r="H28" s="282"/>
      <c r="I28" s="133"/>
      <c r="J28" s="133"/>
      <c r="K28" s="480"/>
      <c r="L28" s="133"/>
      <c r="M28" s="121"/>
    </row>
    <row r="29" spans="1:13" ht="12.75">
      <c r="A29" s="132"/>
      <c r="B29" s="485" t="s">
        <v>632</v>
      </c>
      <c r="C29" s="457">
        <f>G24</f>
        <v>820.460000000009</v>
      </c>
      <c r="D29" s="121"/>
      <c r="E29" s="133"/>
      <c r="F29" s="121"/>
      <c r="G29" s="133"/>
      <c r="H29" s="282"/>
      <c r="J29" s="133"/>
      <c r="L29" s="133"/>
      <c r="M29" s="121"/>
    </row>
    <row r="30" spans="2:13" ht="13.5" thickBot="1">
      <c r="B30" s="188"/>
      <c r="C30" s="457"/>
      <c r="D30" s="121"/>
      <c r="E30" s="133"/>
      <c r="F30" s="121"/>
      <c r="G30" s="133"/>
      <c r="H30" s="282"/>
      <c r="I30" s="133"/>
      <c r="J30" s="133"/>
      <c r="K30" s="235"/>
      <c r="L30" s="121"/>
      <c r="M30" s="121"/>
    </row>
    <row r="31" spans="1:11" ht="13.5" thickBot="1">
      <c r="A31" s="132"/>
      <c r="B31" s="521" t="s">
        <v>98</v>
      </c>
      <c r="C31" s="522">
        <f>C27+C29</f>
        <v>21927.010000000013</v>
      </c>
      <c r="E31" s="133"/>
      <c r="G31" s="133"/>
      <c r="H31" s="133"/>
      <c r="I31" s="133"/>
      <c r="J31" s="133"/>
      <c r="K31" s="478"/>
    </row>
    <row r="33" ht="12.75">
      <c r="C33" s="132">
        <f>C25-C31</f>
        <v>0</v>
      </c>
    </row>
  </sheetData>
  <sheetProtection/>
  <printOptions/>
  <pageMargins left="0.7" right="0.7" top="0.75" bottom="0.75" header="0.3" footer="0.3"/>
  <pageSetup fitToHeight="1" fitToWidth="1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5"/>
  <sheetViews>
    <sheetView zoomScale="85" zoomScaleNormal="85" zoomScalePageLayoutView="0" workbookViewId="0" topLeftCell="A169">
      <selection activeCell="E169" sqref="E169"/>
    </sheetView>
  </sheetViews>
  <sheetFormatPr defaultColWidth="9.140625" defaultRowHeight="12.75"/>
  <cols>
    <col min="2" max="2" width="14.8515625" style="0" customWidth="1"/>
    <col min="3" max="3" width="11.8515625" style="0" customWidth="1"/>
    <col min="4" max="4" width="13.421875" style="0" customWidth="1"/>
    <col min="5" max="6" width="17.7109375" style="0" customWidth="1"/>
    <col min="7" max="7" width="3.8515625" style="0" customWidth="1"/>
    <col min="8" max="8" width="17.140625" style="0" customWidth="1"/>
    <col min="9" max="9" width="18.57421875" style="0" customWidth="1"/>
  </cols>
  <sheetData>
    <row r="1" spans="2:8" ht="21">
      <c r="B1" s="171" t="s">
        <v>587</v>
      </c>
      <c r="G1" s="150"/>
      <c r="H1" s="150" t="s">
        <v>360</v>
      </c>
    </row>
    <row r="2" spans="2:8" ht="17.25">
      <c r="B2" s="287">
        <f>'31 dec 2021'!C4</f>
        <v>44561</v>
      </c>
      <c r="G2" s="150"/>
      <c r="H2" s="150"/>
    </row>
    <row r="3" spans="7:8" ht="12.75">
      <c r="G3" s="150"/>
      <c r="H3" s="150"/>
    </row>
    <row r="4" spans="7:8" ht="13.5" thickBot="1">
      <c r="G4" s="150"/>
      <c r="H4" s="150"/>
    </row>
    <row r="5" spans="2:9" ht="15.75" thickBot="1">
      <c r="B5" s="429" t="s">
        <v>1</v>
      </c>
      <c r="C5" s="429"/>
      <c r="D5" s="429"/>
      <c r="E5" s="429" t="s">
        <v>588</v>
      </c>
      <c r="F5" s="816" t="s">
        <v>554</v>
      </c>
      <c r="G5" s="763"/>
      <c r="H5" s="816" t="s">
        <v>564</v>
      </c>
      <c r="I5" s="819"/>
    </row>
    <row r="6" spans="2:8" ht="13.5" thickBot="1">
      <c r="B6" s="24"/>
      <c r="C6" s="24"/>
      <c r="D6" s="24"/>
      <c r="E6" s="24"/>
      <c r="F6" s="24"/>
      <c r="G6" s="150"/>
      <c r="H6" s="150"/>
    </row>
    <row r="7" spans="1:8" ht="15.75" thickBot="1">
      <c r="A7" s="121"/>
      <c r="B7" s="429" t="s">
        <v>108</v>
      </c>
      <c r="C7" s="177"/>
      <c r="D7" s="178"/>
      <c r="E7" s="222" t="s">
        <v>109</v>
      </c>
      <c r="F7" s="746" t="s">
        <v>421</v>
      </c>
      <c r="G7" s="747"/>
      <c r="H7" s="150"/>
    </row>
    <row r="8" spans="1:8" ht="15.75" thickBot="1">
      <c r="A8" s="121"/>
      <c r="B8" s="748" t="s">
        <v>0</v>
      </c>
      <c r="C8" s="749"/>
      <c r="D8" s="749"/>
      <c r="E8" s="750" t="s">
        <v>111</v>
      </c>
      <c r="F8" s="661" t="s">
        <v>420</v>
      </c>
      <c r="G8" s="751"/>
      <c r="H8" s="150"/>
    </row>
    <row r="9" spans="1:8" ht="15.75" thickBot="1">
      <c r="A9" s="121"/>
      <c r="B9" s="84"/>
      <c r="C9" s="23"/>
      <c r="D9" s="23"/>
      <c r="E9" s="23"/>
      <c r="F9" s="23"/>
      <c r="G9" s="150"/>
      <c r="H9" s="150"/>
    </row>
    <row r="10" spans="1:8" ht="15">
      <c r="A10" s="121"/>
      <c r="B10" s="432" t="s">
        <v>600</v>
      </c>
      <c r="C10" s="177"/>
      <c r="D10" s="177"/>
      <c r="E10" s="222" t="s">
        <v>112</v>
      </c>
      <c r="F10" s="433"/>
      <c r="G10" s="150"/>
      <c r="H10" s="150"/>
    </row>
    <row r="11" spans="2:9" ht="18" customHeight="1" thickBot="1">
      <c r="B11" s="570">
        <v>43830</v>
      </c>
      <c r="C11" s="571" t="s">
        <v>2</v>
      </c>
      <c r="D11" s="571"/>
      <c r="E11" s="571"/>
      <c r="F11" s="118">
        <f>'project 2019'!F66</f>
        <v>354.98</v>
      </c>
      <c r="G11" s="150"/>
      <c r="H11" s="150"/>
      <c r="I11" s="150"/>
    </row>
    <row r="12" spans="2:9" ht="15.75" hidden="1" thickBot="1">
      <c r="B12" s="665"/>
      <c r="C12" s="666" t="s">
        <v>528</v>
      </c>
      <c r="D12" s="666"/>
      <c r="E12" s="667"/>
      <c r="F12" s="507"/>
      <c r="G12" s="150"/>
      <c r="H12" s="150"/>
      <c r="I12" s="150"/>
    </row>
    <row r="13" spans="2:9" ht="15.75" hidden="1" thickBot="1">
      <c r="B13" s="437">
        <v>43833</v>
      </c>
      <c r="C13" s="191" t="s">
        <v>67</v>
      </c>
      <c r="D13" s="191"/>
      <c r="E13" s="186"/>
      <c r="F13" s="240">
        <v>-9.95</v>
      </c>
      <c r="G13" s="150"/>
      <c r="H13" s="150"/>
      <c r="I13" s="150"/>
    </row>
    <row r="14" spans="2:9" ht="15.75" hidden="1" thickBot="1">
      <c r="B14" s="437">
        <v>43863</v>
      </c>
      <c r="C14" s="191" t="s">
        <v>67</v>
      </c>
      <c r="D14" s="191"/>
      <c r="E14" s="186"/>
      <c r="F14" s="240">
        <v>-9.95</v>
      </c>
      <c r="G14" s="150"/>
      <c r="H14" s="150"/>
      <c r="I14" s="150"/>
    </row>
    <row r="15" spans="2:9" ht="15.75" hidden="1" thickBot="1">
      <c r="B15" s="437"/>
      <c r="C15" s="191" t="s">
        <v>67</v>
      </c>
      <c r="D15" s="191"/>
      <c r="E15" s="186"/>
      <c r="F15" s="240">
        <v>-9.94</v>
      </c>
      <c r="G15" s="150"/>
      <c r="H15" s="150"/>
      <c r="I15" s="150"/>
    </row>
    <row r="16" spans="2:9" ht="15.75" hidden="1" thickBot="1">
      <c r="B16" s="437">
        <v>43923</v>
      </c>
      <c r="C16" s="191" t="s">
        <v>67</v>
      </c>
      <c r="D16" s="191"/>
      <c r="E16" s="186"/>
      <c r="F16" s="240">
        <v>-9.94</v>
      </c>
      <c r="G16" s="150"/>
      <c r="H16" s="150"/>
      <c r="I16" s="150"/>
    </row>
    <row r="17" spans="2:9" ht="15.75" hidden="1" thickBot="1">
      <c r="B17" s="437">
        <v>43956</v>
      </c>
      <c r="C17" s="191" t="s">
        <v>67</v>
      </c>
      <c r="D17" s="191"/>
      <c r="E17" s="186"/>
      <c r="F17" s="240">
        <v>-9.96</v>
      </c>
      <c r="G17" s="150"/>
      <c r="H17" s="150"/>
      <c r="I17" s="150"/>
    </row>
    <row r="18" spans="2:9" ht="15.75" hidden="1" thickBot="1">
      <c r="B18" s="437">
        <v>43984</v>
      </c>
      <c r="C18" s="191" t="s">
        <v>67</v>
      </c>
      <c r="D18" s="191"/>
      <c r="E18" s="186"/>
      <c r="F18" s="240">
        <v>-9.93</v>
      </c>
      <c r="G18" s="150"/>
      <c r="H18" s="150"/>
      <c r="I18" s="150"/>
    </row>
    <row r="19" spans="2:9" ht="10.5" customHeight="1" hidden="1" thickBot="1">
      <c r="B19" s="437">
        <v>44014</v>
      </c>
      <c r="C19" s="191" t="s">
        <v>67</v>
      </c>
      <c r="D19" s="191"/>
      <c r="E19" s="186"/>
      <c r="F19" s="240">
        <v>-9.96</v>
      </c>
      <c r="G19" s="150"/>
      <c r="H19" s="150"/>
      <c r="I19" s="150"/>
    </row>
    <row r="20" spans="2:9" ht="15" hidden="1">
      <c r="B20" s="437">
        <v>44047</v>
      </c>
      <c r="C20" s="191" t="s">
        <v>67</v>
      </c>
      <c r="D20" s="191"/>
      <c r="E20" s="186"/>
      <c r="F20" s="240">
        <v>-9.94</v>
      </c>
      <c r="G20" s="150"/>
      <c r="H20" s="150"/>
      <c r="I20" s="150"/>
    </row>
    <row r="21" spans="2:9" ht="15" hidden="1">
      <c r="B21" s="437">
        <v>44076</v>
      </c>
      <c r="C21" s="191" t="s">
        <v>67</v>
      </c>
      <c r="D21" s="191"/>
      <c r="E21" s="186"/>
      <c r="F21" s="240">
        <v>-9.94</v>
      </c>
      <c r="G21" s="150"/>
      <c r="H21" s="150"/>
      <c r="I21" s="150"/>
    </row>
    <row r="22" spans="2:9" ht="15" hidden="1">
      <c r="B22" s="437">
        <v>44106</v>
      </c>
      <c r="C22" s="191" t="s">
        <v>67</v>
      </c>
      <c r="D22" s="191"/>
      <c r="E22" s="186"/>
      <c r="F22" s="240">
        <v>-9.96</v>
      </c>
      <c r="G22" s="150"/>
      <c r="H22" s="150"/>
      <c r="I22" s="150"/>
    </row>
    <row r="23" spans="2:9" ht="15.75" hidden="1" thickBot="1">
      <c r="B23" s="437">
        <v>44112</v>
      </c>
      <c r="C23" s="191" t="s">
        <v>559</v>
      </c>
      <c r="D23" s="191"/>
      <c r="E23" s="186"/>
      <c r="F23" s="240">
        <v>-235.51</v>
      </c>
      <c r="G23" s="150"/>
      <c r="H23" s="816" t="s">
        <v>565</v>
      </c>
      <c r="I23" s="763"/>
    </row>
    <row r="24" spans="2:9" ht="15" hidden="1">
      <c r="B24" s="437">
        <v>44138</v>
      </c>
      <c r="C24" s="191" t="s">
        <v>67</v>
      </c>
      <c r="D24" s="191"/>
      <c r="E24" s="186"/>
      <c r="F24" s="240">
        <v>-9.95</v>
      </c>
      <c r="G24" s="150"/>
      <c r="H24" s="150"/>
      <c r="I24" s="150"/>
    </row>
    <row r="25" spans="2:9" ht="15" hidden="1">
      <c r="B25" s="437">
        <v>44167</v>
      </c>
      <c r="C25" s="191" t="s">
        <v>67</v>
      </c>
      <c r="D25" s="191"/>
      <c r="E25" s="186"/>
      <c r="F25" s="240">
        <v>-9.95</v>
      </c>
      <c r="G25" s="150"/>
      <c r="H25" s="150"/>
      <c r="I25" s="150"/>
    </row>
    <row r="26" spans="2:9" ht="15.75" hidden="1" thickBot="1">
      <c r="B26" s="668"/>
      <c r="C26" s="669" t="s">
        <v>529</v>
      </c>
      <c r="D26" s="669"/>
      <c r="E26" s="670"/>
      <c r="F26" s="671">
        <f>SUM(F12:F25)</f>
        <v>-354.88</v>
      </c>
      <c r="G26" s="150"/>
      <c r="H26" s="150"/>
      <c r="I26" s="150"/>
    </row>
    <row r="27" spans="2:9" ht="15">
      <c r="B27" s="665"/>
      <c r="C27" s="666" t="s">
        <v>530</v>
      </c>
      <c r="D27" s="666"/>
      <c r="E27" s="667"/>
      <c r="F27" s="507"/>
      <c r="G27" s="150"/>
      <c r="H27" s="150"/>
      <c r="I27" s="460"/>
    </row>
    <row r="28" spans="2:9" ht="15.75" thickBot="1">
      <c r="B28" s="668"/>
      <c r="C28" s="669" t="s">
        <v>532</v>
      </c>
      <c r="D28" s="669"/>
      <c r="E28" s="670"/>
      <c r="F28" s="671">
        <f>SUM(F27:F27)</f>
        <v>0</v>
      </c>
      <c r="G28" s="150"/>
      <c r="H28" s="150"/>
      <c r="I28" s="235"/>
    </row>
    <row r="29" spans="2:9" ht="15.75" thickBot="1">
      <c r="B29" s="755">
        <v>44196</v>
      </c>
      <c r="C29" s="756" t="s">
        <v>2</v>
      </c>
      <c r="D29" s="756"/>
      <c r="E29" s="757"/>
      <c r="F29" s="758">
        <f>F11+F26+F28</f>
        <v>0.10000000000002274</v>
      </c>
      <c r="G29" s="150"/>
      <c r="H29" s="150"/>
      <c r="I29" s="235"/>
    </row>
    <row r="30" spans="2:9" ht="15">
      <c r="B30" s="437"/>
      <c r="C30" s="191" t="s">
        <v>590</v>
      </c>
      <c r="D30" s="191"/>
      <c r="E30" s="186"/>
      <c r="F30" s="240"/>
      <c r="G30" s="150"/>
      <c r="H30" s="150"/>
      <c r="I30" s="235"/>
    </row>
    <row r="31" spans="2:9" ht="15">
      <c r="B31" s="437">
        <v>44201</v>
      </c>
      <c r="C31" s="191" t="s">
        <v>67</v>
      </c>
      <c r="D31" s="191"/>
      <c r="E31" s="186"/>
      <c r="F31" s="240">
        <v>-9.95</v>
      </c>
      <c r="G31" s="150"/>
      <c r="H31" s="150" t="s">
        <v>376</v>
      </c>
      <c r="I31" s="235"/>
    </row>
    <row r="32" spans="2:9" ht="15">
      <c r="B32" s="437">
        <v>44230</v>
      </c>
      <c r="C32" s="191" t="s">
        <v>67</v>
      </c>
      <c r="D32" s="191"/>
      <c r="E32" s="186"/>
      <c r="F32" s="240">
        <v>-9.95</v>
      </c>
      <c r="G32" s="150"/>
      <c r="H32" s="150" t="s">
        <v>376</v>
      </c>
      <c r="I32" s="235"/>
    </row>
    <row r="33" spans="2:9" ht="15">
      <c r="B33" s="437">
        <v>44257</v>
      </c>
      <c r="C33" s="191" t="s">
        <v>67</v>
      </c>
      <c r="D33" s="191"/>
      <c r="E33" s="186"/>
      <c r="F33" s="240">
        <v>-9.95</v>
      </c>
      <c r="G33" s="150"/>
      <c r="H33" s="150" t="s">
        <v>376</v>
      </c>
      <c r="I33" s="235"/>
    </row>
    <row r="34" spans="2:9" ht="15">
      <c r="B34" s="437">
        <v>44288</v>
      </c>
      <c r="C34" s="191" t="s">
        <v>67</v>
      </c>
      <c r="D34" s="191"/>
      <c r="E34" s="186"/>
      <c r="F34" s="240">
        <v>-9.95</v>
      </c>
      <c r="G34" s="150"/>
      <c r="H34" s="150" t="s">
        <v>376</v>
      </c>
      <c r="I34" s="235"/>
    </row>
    <row r="35" spans="2:9" ht="15">
      <c r="B35" s="437">
        <v>44320</v>
      </c>
      <c r="C35" s="191" t="s">
        <v>67</v>
      </c>
      <c r="D35" s="191"/>
      <c r="E35" s="186"/>
      <c r="F35" s="240">
        <v>-9.95</v>
      </c>
      <c r="G35" s="150"/>
      <c r="H35" s="150" t="s">
        <v>376</v>
      </c>
      <c r="I35" s="235"/>
    </row>
    <row r="36" spans="2:9" ht="15">
      <c r="B36" s="437">
        <v>44349</v>
      </c>
      <c r="C36" s="191" t="s">
        <v>67</v>
      </c>
      <c r="D36" s="191"/>
      <c r="E36" s="186"/>
      <c r="F36" s="240">
        <f>-9.95</f>
        <v>-9.95</v>
      </c>
      <c r="G36" s="150"/>
      <c r="H36" s="150" t="s">
        <v>376</v>
      </c>
      <c r="I36" s="235"/>
    </row>
    <row r="37" spans="2:9" ht="15">
      <c r="B37" s="437">
        <v>44379</v>
      </c>
      <c r="C37" s="191" t="s">
        <v>67</v>
      </c>
      <c r="D37" s="191"/>
      <c r="E37" s="186"/>
      <c r="F37" s="240">
        <v>-9.95</v>
      </c>
      <c r="G37" s="150"/>
      <c r="H37" s="150" t="s">
        <v>376</v>
      </c>
      <c r="I37" s="235"/>
    </row>
    <row r="38" spans="2:9" ht="15">
      <c r="B38" s="437">
        <v>44413</v>
      </c>
      <c r="C38" s="191" t="s">
        <v>67</v>
      </c>
      <c r="D38" s="191"/>
      <c r="E38" s="186"/>
      <c r="F38" s="240">
        <v>-9.95</v>
      </c>
      <c r="G38" s="150"/>
      <c r="H38" s="150" t="s">
        <v>376</v>
      </c>
      <c r="I38" s="235"/>
    </row>
    <row r="39" spans="2:9" ht="15">
      <c r="B39" s="437">
        <v>44441</v>
      </c>
      <c r="C39" s="191" t="s">
        <v>67</v>
      </c>
      <c r="D39" s="191"/>
      <c r="E39" s="186"/>
      <c r="F39" s="240">
        <v>-9.95</v>
      </c>
      <c r="G39" s="150"/>
      <c r="H39" s="150" t="s">
        <v>376</v>
      </c>
      <c r="I39" s="235"/>
    </row>
    <row r="40" spans="2:9" ht="15">
      <c r="B40" s="437">
        <v>44471</v>
      </c>
      <c r="C40" s="191" t="s">
        <v>615</v>
      </c>
      <c r="D40" s="191"/>
      <c r="E40" s="186"/>
      <c r="F40" s="240">
        <v>-9.95</v>
      </c>
      <c r="G40" s="150"/>
      <c r="H40" s="150" t="s">
        <v>376</v>
      </c>
      <c r="I40" s="235"/>
    </row>
    <row r="41" spans="2:9" ht="15">
      <c r="B41" s="437">
        <v>44502</v>
      </c>
      <c r="C41" s="191" t="s">
        <v>67</v>
      </c>
      <c r="D41" s="191"/>
      <c r="E41" s="186"/>
      <c r="F41" s="240">
        <v>-9.95</v>
      </c>
      <c r="G41" s="150"/>
      <c r="H41" s="150" t="s">
        <v>376</v>
      </c>
      <c r="I41" s="235"/>
    </row>
    <row r="42" spans="2:9" ht="15">
      <c r="B42" s="437">
        <v>44532</v>
      </c>
      <c r="C42" s="191" t="s">
        <v>67</v>
      </c>
      <c r="D42" s="191"/>
      <c r="E42" s="186"/>
      <c r="F42" s="240">
        <v>-9.95</v>
      </c>
      <c r="G42" s="150"/>
      <c r="H42" s="150" t="s">
        <v>376</v>
      </c>
      <c r="I42" s="235"/>
    </row>
    <row r="43" spans="2:9" ht="15.75" thickBot="1">
      <c r="B43" s="668"/>
      <c r="C43" s="669" t="s">
        <v>589</v>
      </c>
      <c r="D43" s="831"/>
      <c r="E43" s="670"/>
      <c r="F43" s="671">
        <f>SUM(F31:F42)</f>
        <v>-119.40000000000002</v>
      </c>
      <c r="G43" s="150"/>
      <c r="H43" s="150"/>
      <c r="I43" s="235"/>
    </row>
    <row r="44" spans="2:9" ht="15">
      <c r="B44" s="437"/>
      <c r="C44" s="191" t="s">
        <v>591</v>
      </c>
      <c r="D44" s="191"/>
      <c r="E44" s="186"/>
      <c r="F44" s="833"/>
      <c r="G44" s="150"/>
      <c r="H44" s="150"/>
      <c r="I44" s="235"/>
    </row>
    <row r="45" spans="2:9" ht="15">
      <c r="B45" s="437">
        <v>44280</v>
      </c>
      <c r="C45" s="191" t="s">
        <v>598</v>
      </c>
      <c r="D45" s="191"/>
      <c r="E45" s="186"/>
      <c r="F45" s="850">
        <v>200</v>
      </c>
      <c r="G45" s="150"/>
      <c r="H45" s="261" t="s">
        <v>509</v>
      </c>
      <c r="I45" s="890" t="s">
        <v>628</v>
      </c>
    </row>
    <row r="46" spans="2:9" ht="15">
      <c r="B46" s="759"/>
      <c r="C46" s="753" t="s">
        <v>592</v>
      </c>
      <c r="D46" s="753"/>
      <c r="E46" s="754"/>
      <c r="F46" s="851">
        <f>SUM(F44:F45)</f>
        <v>200</v>
      </c>
      <c r="G46" s="150"/>
      <c r="H46" s="150"/>
      <c r="I46" s="235"/>
    </row>
    <row r="47" spans="2:9" ht="15.75" thickBot="1">
      <c r="B47" s="111">
        <f>B2</f>
        <v>44561</v>
      </c>
      <c r="C47" s="105" t="s">
        <v>2</v>
      </c>
      <c r="D47" s="105"/>
      <c r="E47" s="572"/>
      <c r="F47" s="112">
        <f>F29+F43+F46</f>
        <v>80.7</v>
      </c>
      <c r="G47" s="150"/>
      <c r="H47" s="150"/>
      <c r="I47" s="235"/>
    </row>
    <row r="48" spans="2:9" ht="15.75" thickBot="1">
      <c r="B48" s="473"/>
      <c r="C48" s="149"/>
      <c r="D48" s="149"/>
      <c r="E48" s="698"/>
      <c r="F48" s="227"/>
      <c r="G48" s="150"/>
      <c r="H48" s="150"/>
      <c r="I48" s="235"/>
    </row>
    <row r="49" spans="2:9" ht="15">
      <c r="B49" s="255" t="s">
        <v>95</v>
      </c>
      <c r="C49" s="203"/>
      <c r="D49" s="178"/>
      <c r="E49" s="222" t="s">
        <v>114</v>
      </c>
      <c r="F49" s="197"/>
      <c r="G49" s="150"/>
      <c r="H49" s="150"/>
      <c r="I49" s="235"/>
    </row>
    <row r="50" spans="2:9" ht="15.75" thickBot="1">
      <c r="B50" s="835">
        <v>44196</v>
      </c>
      <c r="C50" s="661" t="s">
        <v>2</v>
      </c>
      <c r="D50" s="661"/>
      <c r="E50" s="836"/>
      <c r="F50" s="837" t="s">
        <v>421</v>
      </c>
      <c r="G50" s="696"/>
      <c r="H50" s="150"/>
      <c r="I50" s="252"/>
    </row>
    <row r="51" spans="2:9" ht="15.75" thickBot="1">
      <c r="B51" s="473"/>
      <c r="C51" s="149"/>
      <c r="D51" s="149"/>
      <c r="E51" s="698"/>
      <c r="F51" s="227"/>
      <c r="G51" s="150"/>
      <c r="H51" s="150"/>
      <c r="I51" s="252"/>
    </row>
    <row r="52" spans="2:9" ht="12.75">
      <c r="B52" s="416" t="s">
        <v>131</v>
      </c>
      <c r="C52" s="417"/>
      <c r="D52" s="417"/>
      <c r="E52" s="417"/>
      <c r="F52" s="418"/>
      <c r="G52" s="150"/>
      <c r="H52" s="150"/>
      <c r="I52" s="235"/>
    </row>
    <row r="53" spans="2:9" ht="15.75" thickBot="1">
      <c r="B53" s="838" t="s">
        <v>83</v>
      </c>
      <c r="C53" s="839"/>
      <c r="D53" s="183"/>
      <c r="E53" s="840" t="s">
        <v>115</v>
      </c>
      <c r="F53" s="199"/>
      <c r="G53" s="150"/>
      <c r="H53" s="150"/>
      <c r="I53" s="235"/>
    </row>
    <row r="54" spans="1:8" ht="15.75" hidden="1" thickBot="1">
      <c r="A54" s="121"/>
      <c r="B54" s="755">
        <v>43830</v>
      </c>
      <c r="C54" s="756" t="s">
        <v>2</v>
      </c>
      <c r="D54" s="756"/>
      <c r="E54" s="757"/>
      <c r="F54" s="758">
        <v>23863.16</v>
      </c>
      <c r="G54" s="150"/>
      <c r="H54" s="150"/>
    </row>
    <row r="55" spans="1:8" ht="15" hidden="1">
      <c r="A55" s="121"/>
      <c r="B55" s="437"/>
      <c r="C55" s="191" t="s">
        <v>528</v>
      </c>
      <c r="D55" s="191"/>
      <c r="E55" s="186"/>
      <c r="F55" s="240"/>
      <c r="G55" s="150"/>
      <c r="H55" s="150"/>
    </row>
    <row r="56" spans="1:8" ht="15" hidden="1">
      <c r="A56" s="121"/>
      <c r="B56" s="437">
        <v>43848</v>
      </c>
      <c r="C56" s="191" t="s">
        <v>539</v>
      </c>
      <c r="D56" s="191"/>
      <c r="E56" s="186"/>
      <c r="F56" s="240">
        <v>-19.63</v>
      </c>
      <c r="G56" s="150"/>
      <c r="H56" s="150"/>
    </row>
    <row r="57" spans="1:8" ht="15" hidden="1">
      <c r="A57" s="121"/>
      <c r="B57" s="437">
        <v>43874</v>
      </c>
      <c r="C57" s="191" t="s">
        <v>542</v>
      </c>
      <c r="D57" s="191"/>
      <c r="E57" s="186"/>
      <c r="F57" s="240">
        <v>-9198.51</v>
      </c>
      <c r="G57" s="150"/>
      <c r="H57" s="150"/>
    </row>
    <row r="58" spans="1:8" ht="15" hidden="1">
      <c r="A58" s="121"/>
      <c r="B58" s="437">
        <v>43965</v>
      </c>
      <c r="C58" s="191" t="s">
        <v>543</v>
      </c>
      <c r="D58" s="191"/>
      <c r="E58" s="186"/>
      <c r="F58" s="240">
        <v>-32</v>
      </c>
      <c r="G58" s="150"/>
      <c r="H58" s="150"/>
    </row>
    <row r="59" spans="1:8" ht="15" hidden="1">
      <c r="A59" s="121"/>
      <c r="B59" s="437">
        <v>44017</v>
      </c>
      <c r="C59" s="191" t="s">
        <v>544</v>
      </c>
      <c r="D59" s="191"/>
      <c r="E59" s="186"/>
      <c r="F59" s="240">
        <v>-135.05</v>
      </c>
      <c r="G59" s="150"/>
      <c r="H59" s="150"/>
    </row>
    <row r="60" spans="1:8" ht="15" hidden="1">
      <c r="A60" s="121"/>
      <c r="B60" s="437">
        <v>44099</v>
      </c>
      <c r="C60" s="191" t="s">
        <v>547</v>
      </c>
      <c r="D60" s="191"/>
      <c r="E60" s="186"/>
      <c r="F60" s="240">
        <v>-48</v>
      </c>
      <c r="G60" s="150"/>
      <c r="H60" s="150"/>
    </row>
    <row r="61" spans="1:8" ht="15" hidden="1">
      <c r="A61" s="121"/>
      <c r="B61" s="437">
        <v>44099</v>
      </c>
      <c r="C61" s="191" t="s">
        <v>548</v>
      </c>
      <c r="D61" s="191"/>
      <c r="E61" s="186"/>
      <c r="F61" s="240">
        <v>-39.87</v>
      </c>
      <c r="G61" s="150"/>
      <c r="H61" s="150"/>
    </row>
    <row r="62" spans="1:8" ht="15" hidden="1">
      <c r="A62" s="121"/>
      <c r="B62" s="437">
        <v>44099</v>
      </c>
      <c r="C62" s="191" t="s">
        <v>549</v>
      </c>
      <c r="D62" s="191"/>
      <c r="E62" s="186"/>
      <c r="F62" s="240">
        <v>-496.1</v>
      </c>
      <c r="G62" s="150"/>
      <c r="H62" s="150"/>
    </row>
    <row r="63" spans="1:8" ht="15" hidden="1">
      <c r="A63" s="121"/>
      <c r="B63" s="437">
        <v>44109</v>
      </c>
      <c r="C63" s="191" t="s">
        <v>551</v>
      </c>
      <c r="D63" s="191"/>
      <c r="E63" s="186"/>
      <c r="F63" s="240">
        <v>-362.15</v>
      </c>
      <c r="G63" s="122"/>
      <c r="H63" s="150"/>
    </row>
    <row r="64" spans="1:8" ht="15" hidden="1">
      <c r="A64" s="121"/>
      <c r="B64" s="437">
        <v>44113</v>
      </c>
      <c r="C64" s="191" t="s">
        <v>573</v>
      </c>
      <c r="D64" s="191"/>
      <c r="E64" s="186"/>
      <c r="F64" s="240">
        <v>-217.49</v>
      </c>
      <c r="G64" s="122"/>
      <c r="H64" s="224"/>
    </row>
    <row r="65" spans="1:8" ht="15" hidden="1">
      <c r="A65" s="121"/>
      <c r="B65" s="437">
        <v>44124</v>
      </c>
      <c r="C65" s="191" t="s">
        <v>574</v>
      </c>
      <c r="D65" s="191"/>
      <c r="E65" s="186"/>
      <c r="F65" s="240">
        <v>-353.93</v>
      </c>
      <c r="G65" s="122"/>
      <c r="H65" s="150"/>
    </row>
    <row r="66" spans="1:8" ht="15" hidden="1">
      <c r="A66" s="121"/>
      <c r="B66" s="759"/>
      <c r="C66" s="753" t="s">
        <v>529</v>
      </c>
      <c r="D66" s="753"/>
      <c r="E66" s="754"/>
      <c r="F66" s="760">
        <f>SUM(F55:F65)</f>
        <v>-10902.73</v>
      </c>
      <c r="G66" s="150"/>
      <c r="H66" s="150"/>
    </row>
    <row r="67" spans="1:8" ht="15" hidden="1">
      <c r="A67" s="121"/>
      <c r="B67" s="437"/>
      <c r="C67" s="191" t="s">
        <v>530</v>
      </c>
      <c r="D67" s="191"/>
      <c r="E67" s="186"/>
      <c r="F67" s="240"/>
      <c r="G67" s="150"/>
      <c r="H67" s="150"/>
    </row>
    <row r="68" spans="1:8" ht="15" hidden="1">
      <c r="A68" s="121"/>
      <c r="B68" s="437">
        <v>43831</v>
      </c>
      <c r="C68" s="191" t="s">
        <v>59</v>
      </c>
      <c r="D68" s="191"/>
      <c r="E68" s="186"/>
      <c r="F68" s="240">
        <v>1.6</v>
      </c>
      <c r="G68" s="150"/>
      <c r="H68" s="150"/>
    </row>
    <row r="69" spans="1:8" ht="15" hidden="1">
      <c r="A69" s="121"/>
      <c r="B69" s="437">
        <v>44039</v>
      </c>
      <c r="C69" s="191" t="s">
        <v>545</v>
      </c>
      <c r="D69" s="191"/>
      <c r="E69" s="186"/>
      <c r="F69" s="240">
        <v>17.5</v>
      </c>
      <c r="G69" s="150"/>
      <c r="H69" s="150"/>
    </row>
    <row r="70" spans="1:8" ht="15" hidden="1">
      <c r="A70" s="121"/>
      <c r="B70" s="437">
        <v>44113</v>
      </c>
      <c r="C70" s="191" t="s">
        <v>545</v>
      </c>
      <c r="D70" s="191"/>
      <c r="E70" s="186"/>
      <c r="F70" s="240">
        <v>20</v>
      </c>
      <c r="G70" s="122"/>
      <c r="H70" s="150"/>
    </row>
    <row r="71" spans="1:8" ht="15" hidden="1">
      <c r="A71" s="121"/>
      <c r="B71" s="437"/>
      <c r="C71" s="191"/>
      <c r="D71" s="191"/>
      <c r="E71" s="186"/>
      <c r="F71" s="240"/>
      <c r="G71" s="150"/>
      <c r="H71" s="150"/>
    </row>
    <row r="72" spans="1:8" ht="15" hidden="1">
      <c r="A72" s="121"/>
      <c r="B72" s="759"/>
      <c r="C72" s="753" t="s">
        <v>531</v>
      </c>
      <c r="D72" s="753"/>
      <c r="E72" s="754"/>
      <c r="F72" s="760">
        <f>SUM(F67:F71)</f>
        <v>39.1</v>
      </c>
      <c r="G72" s="150"/>
      <c r="H72" s="150"/>
    </row>
    <row r="73" spans="1:8" ht="15.75" thickBot="1">
      <c r="A73" s="121"/>
      <c r="B73" s="111">
        <v>44196</v>
      </c>
      <c r="C73" s="105" t="s">
        <v>2</v>
      </c>
      <c r="D73" s="105"/>
      <c r="E73" s="572"/>
      <c r="F73" s="112">
        <f>F54+F66+F72</f>
        <v>12999.53</v>
      </c>
      <c r="G73" s="150"/>
      <c r="H73" s="150"/>
    </row>
    <row r="74" spans="1:8" ht="15">
      <c r="A74" s="121"/>
      <c r="B74" s="437"/>
      <c r="C74" s="191" t="s">
        <v>590</v>
      </c>
      <c r="D74" s="191"/>
      <c r="E74" s="186"/>
      <c r="F74" s="240"/>
      <c r="G74" s="150"/>
      <c r="H74" s="150"/>
    </row>
    <row r="75" spans="1:9" ht="15">
      <c r="A75" s="121"/>
      <c r="B75" s="437" t="s">
        <v>604</v>
      </c>
      <c r="C75" s="191" t="s">
        <v>605</v>
      </c>
      <c r="D75" s="191"/>
      <c r="E75" s="186"/>
      <c r="F75" s="240">
        <v>-10</v>
      </c>
      <c r="G75" s="150"/>
      <c r="H75" s="224" t="s">
        <v>376</v>
      </c>
      <c r="I75" s="224" t="s">
        <v>606</v>
      </c>
    </row>
    <row r="76" spans="1:9" ht="15">
      <c r="A76" s="121"/>
      <c r="B76" s="437">
        <v>44438</v>
      </c>
      <c r="C76" s="191" t="s">
        <v>620</v>
      </c>
      <c r="D76" s="191"/>
      <c r="E76" s="186"/>
      <c r="F76" s="240">
        <v>-290.4</v>
      </c>
      <c r="G76" s="150"/>
      <c r="H76" s="889" t="s">
        <v>634</v>
      </c>
      <c r="I76" s="121"/>
    </row>
    <row r="77" spans="1:8" ht="15">
      <c r="A77" s="121"/>
      <c r="B77" s="437">
        <v>44471</v>
      </c>
      <c r="C77" s="191" t="s">
        <v>617</v>
      </c>
      <c r="D77" s="191"/>
      <c r="E77" s="186"/>
      <c r="F77" s="240">
        <v>-362.15</v>
      </c>
      <c r="G77" s="150"/>
      <c r="H77" s="889" t="s">
        <v>634</v>
      </c>
    </row>
    <row r="78" spans="1:8" ht="15">
      <c r="A78" s="121"/>
      <c r="B78" s="437" t="s">
        <v>618</v>
      </c>
      <c r="C78" s="191" t="s">
        <v>619</v>
      </c>
      <c r="D78" s="191"/>
      <c r="E78" s="186"/>
      <c r="F78" s="240">
        <v>-226.86</v>
      </c>
      <c r="G78" s="150"/>
      <c r="H78" s="889" t="s">
        <v>634</v>
      </c>
    </row>
    <row r="79" spans="1:8" ht="15.75" thickBot="1">
      <c r="A79" s="121"/>
      <c r="B79" s="668"/>
      <c r="C79" s="669" t="s">
        <v>589</v>
      </c>
      <c r="D79" s="831"/>
      <c r="E79" s="670"/>
      <c r="F79" s="832">
        <f>SUM(F75:F78)</f>
        <v>-889.41</v>
      </c>
      <c r="G79" s="150"/>
      <c r="H79" s="150"/>
    </row>
    <row r="80" spans="1:8" ht="15">
      <c r="A80" s="121"/>
      <c r="B80" s="665"/>
      <c r="C80" s="666" t="s">
        <v>591</v>
      </c>
      <c r="D80" s="666"/>
      <c r="E80" s="667"/>
      <c r="F80" s="841"/>
      <c r="G80" s="150"/>
      <c r="H80" s="150"/>
    </row>
    <row r="81" spans="1:8" ht="15">
      <c r="A81" s="121"/>
      <c r="B81" s="437">
        <v>44197</v>
      </c>
      <c r="C81" s="191" t="s">
        <v>59</v>
      </c>
      <c r="D81" s="191"/>
      <c r="E81" s="186"/>
      <c r="F81" s="833">
        <v>1.53</v>
      </c>
      <c r="G81" s="150"/>
      <c r="H81" s="150" t="s">
        <v>376</v>
      </c>
    </row>
    <row r="82" spans="1:9" ht="15">
      <c r="A82" s="121"/>
      <c r="B82" s="437">
        <v>44312</v>
      </c>
      <c r="C82" s="191" t="s">
        <v>603</v>
      </c>
      <c r="D82" s="191"/>
      <c r="E82" s="186"/>
      <c r="F82" s="833">
        <v>10</v>
      </c>
      <c r="G82" s="150"/>
      <c r="H82" s="224" t="s">
        <v>376</v>
      </c>
      <c r="I82" s="224" t="s">
        <v>334</v>
      </c>
    </row>
    <row r="83" spans="1:8" ht="15">
      <c r="A83" s="121"/>
      <c r="B83" s="437"/>
      <c r="C83" s="191"/>
      <c r="D83" s="191"/>
      <c r="E83" s="186"/>
      <c r="F83" s="833"/>
      <c r="G83" s="150"/>
      <c r="H83" s="150"/>
    </row>
    <row r="84" spans="1:8" ht="15">
      <c r="A84" s="121"/>
      <c r="B84" s="759"/>
      <c r="C84" s="753" t="s">
        <v>592</v>
      </c>
      <c r="D84" s="753"/>
      <c r="E84" s="754"/>
      <c r="F84" s="851">
        <f>SUM(F81:F83)</f>
        <v>11.53</v>
      </c>
      <c r="G84" s="150"/>
      <c r="H84" s="150"/>
    </row>
    <row r="85" spans="1:8" ht="15.75" thickBot="1">
      <c r="A85" s="121"/>
      <c r="B85" s="111">
        <f>B2</f>
        <v>44561</v>
      </c>
      <c r="C85" s="105" t="s">
        <v>2</v>
      </c>
      <c r="D85" s="105"/>
      <c r="E85" s="572"/>
      <c r="F85" s="112">
        <f>F73+F79+F84</f>
        <v>12121.650000000001</v>
      </c>
      <c r="G85" s="150"/>
      <c r="H85" s="235"/>
    </row>
    <row r="86" spans="1:6" s="150" customFormat="1" ht="15.75" thickBot="1">
      <c r="A86" s="121"/>
      <c r="B86" s="473"/>
      <c r="C86" s="149"/>
      <c r="D86" s="149"/>
      <c r="E86" s="698"/>
      <c r="F86" s="227"/>
    </row>
    <row r="87" spans="1:8" ht="15">
      <c r="A87" s="121"/>
      <c r="B87" s="255" t="s">
        <v>88</v>
      </c>
      <c r="C87" s="203"/>
      <c r="D87" s="203"/>
      <c r="E87" s="443" t="s">
        <v>116</v>
      </c>
      <c r="F87" s="444"/>
      <c r="G87" s="150"/>
      <c r="H87" s="150"/>
    </row>
    <row r="88" spans="2:8" ht="15.75" thickBot="1">
      <c r="B88" s="111">
        <v>44196</v>
      </c>
      <c r="C88" s="105" t="s">
        <v>2</v>
      </c>
      <c r="D88" s="105"/>
      <c r="E88" s="572"/>
      <c r="F88" s="112">
        <v>1250</v>
      </c>
      <c r="G88" s="150"/>
      <c r="H88" s="150"/>
    </row>
    <row r="89" spans="2:8" ht="15">
      <c r="B89" s="437"/>
      <c r="C89" s="191" t="s">
        <v>590</v>
      </c>
      <c r="D89" s="191"/>
      <c r="E89" s="186"/>
      <c r="F89" s="240"/>
      <c r="G89" s="150"/>
      <c r="H89" s="150"/>
    </row>
    <row r="90" spans="2:8" ht="15">
      <c r="B90" s="437">
        <v>44461</v>
      </c>
      <c r="C90" s="191" t="s">
        <v>616</v>
      </c>
      <c r="D90" s="191"/>
      <c r="E90" s="186"/>
      <c r="F90" s="240">
        <v>-1118</v>
      </c>
      <c r="G90" s="150"/>
      <c r="H90" s="696" t="s">
        <v>634</v>
      </c>
    </row>
    <row r="91" spans="2:8" ht="15">
      <c r="B91" s="437"/>
      <c r="C91" s="191"/>
      <c r="D91" s="191"/>
      <c r="E91" s="186"/>
      <c r="F91" s="240"/>
      <c r="G91" s="150"/>
      <c r="H91" s="150"/>
    </row>
    <row r="92" spans="2:8" ht="15">
      <c r="B92" s="437"/>
      <c r="C92" s="191"/>
      <c r="D92" s="191"/>
      <c r="E92" s="186"/>
      <c r="F92" s="240"/>
      <c r="G92" s="150"/>
      <c r="H92" s="150"/>
    </row>
    <row r="93" spans="2:8" ht="15.75" thickBot="1">
      <c r="B93" s="668"/>
      <c r="C93" s="669" t="s">
        <v>589</v>
      </c>
      <c r="D93" s="831"/>
      <c r="E93" s="670"/>
      <c r="F93" s="832">
        <f>SUM(F90:F92)</f>
        <v>-1118</v>
      </c>
      <c r="G93" s="150"/>
      <c r="H93" s="150"/>
    </row>
    <row r="94" spans="2:8" ht="15">
      <c r="B94" s="665"/>
      <c r="C94" s="666" t="s">
        <v>591</v>
      </c>
      <c r="D94" s="666"/>
      <c r="E94" s="667"/>
      <c r="F94" s="841"/>
      <c r="G94" s="150"/>
      <c r="H94" s="150"/>
    </row>
    <row r="95" spans="2:8" ht="15">
      <c r="B95" s="437">
        <v>44362</v>
      </c>
      <c r="C95" s="191" t="s">
        <v>613</v>
      </c>
      <c r="D95" s="191"/>
      <c r="E95" s="186"/>
      <c r="F95" s="853">
        <v>1118</v>
      </c>
      <c r="G95" s="150"/>
      <c r="H95" s="150" t="s">
        <v>376</v>
      </c>
    </row>
    <row r="96" spans="2:8" ht="15">
      <c r="B96" s="437">
        <v>44516</v>
      </c>
      <c r="C96" s="191" t="s">
        <v>622</v>
      </c>
      <c r="D96" s="191"/>
      <c r="E96" s="186"/>
      <c r="F96" s="853">
        <v>253.84</v>
      </c>
      <c r="G96" s="150"/>
      <c r="H96" s="150" t="s">
        <v>376</v>
      </c>
    </row>
    <row r="97" spans="2:8" ht="15">
      <c r="B97" s="437">
        <v>44551</v>
      </c>
      <c r="C97" s="191" t="s">
        <v>623</v>
      </c>
      <c r="D97" s="191"/>
      <c r="E97" s="186"/>
      <c r="F97" s="853">
        <v>1000</v>
      </c>
      <c r="G97" s="150"/>
      <c r="H97" s="150" t="s">
        <v>376</v>
      </c>
    </row>
    <row r="98" spans="2:8" ht="15">
      <c r="B98" s="437">
        <v>44551</v>
      </c>
      <c r="C98" s="191" t="s">
        <v>623</v>
      </c>
      <c r="D98" s="191"/>
      <c r="E98" s="186"/>
      <c r="F98" s="853">
        <v>6000</v>
      </c>
      <c r="G98" s="150"/>
      <c r="H98" s="150" t="s">
        <v>376</v>
      </c>
    </row>
    <row r="99" spans="2:8" ht="15">
      <c r="B99" s="759"/>
      <c r="C99" s="753" t="s">
        <v>592</v>
      </c>
      <c r="D99" s="753"/>
      <c r="E99" s="754"/>
      <c r="F99" s="854">
        <f>SUM(F95:F98)</f>
        <v>8371.84</v>
      </c>
      <c r="G99" s="150"/>
      <c r="H99" s="150"/>
    </row>
    <row r="100" spans="2:8" ht="15.75" thickBot="1">
      <c r="B100" s="111">
        <f>B2</f>
        <v>44561</v>
      </c>
      <c r="C100" s="105" t="s">
        <v>2</v>
      </c>
      <c r="D100" s="105"/>
      <c r="E100" s="572"/>
      <c r="F100" s="112">
        <f>F88+F93+F99</f>
        <v>8503.84</v>
      </c>
      <c r="G100" s="150"/>
      <c r="H100" s="150"/>
    </row>
    <row r="101" spans="2:8" ht="13.5" thickBot="1">
      <c r="B101" s="24"/>
      <c r="C101" s="24"/>
      <c r="D101" s="24"/>
      <c r="E101" s="24"/>
      <c r="F101" s="24"/>
      <c r="G101" s="150"/>
      <c r="H101" s="150"/>
    </row>
    <row r="102" spans="2:8" ht="15.75" thickBot="1">
      <c r="B102" s="255" t="s">
        <v>93</v>
      </c>
      <c r="C102" s="203"/>
      <c r="D102" s="203"/>
      <c r="E102" s="443" t="s">
        <v>117</v>
      </c>
      <c r="F102" s="444"/>
      <c r="G102" s="150"/>
      <c r="H102" s="150"/>
    </row>
    <row r="103" spans="1:9" ht="15.75" thickBot="1">
      <c r="A103" s="121"/>
      <c r="B103" s="761" t="str">
        <f>B102</f>
        <v>Oranje Fonds/NL doet</v>
      </c>
      <c r="C103" s="161"/>
      <c r="D103" s="168"/>
      <c r="E103" s="762" t="s">
        <v>563</v>
      </c>
      <c r="F103" s="763"/>
      <c r="G103" s="150"/>
      <c r="H103" s="121"/>
      <c r="I103" s="121"/>
    </row>
    <row r="104" spans="1:9" ht="15.75" thickBot="1">
      <c r="A104" s="121"/>
      <c r="B104" s="422"/>
      <c r="C104" s="422"/>
      <c r="D104" s="422"/>
      <c r="E104" s="422"/>
      <c r="F104" s="423"/>
      <c r="G104" s="150"/>
      <c r="H104" s="121"/>
      <c r="I104" s="121"/>
    </row>
    <row r="105" spans="2:7" ht="15.75" thickBot="1">
      <c r="B105" s="761" t="s">
        <v>535</v>
      </c>
      <c r="C105" s="161"/>
      <c r="D105" s="168" t="s">
        <v>366</v>
      </c>
      <c r="E105" s="762" t="s">
        <v>423</v>
      </c>
      <c r="F105" s="763"/>
      <c r="G105" s="150"/>
    </row>
    <row r="106" spans="2:9" ht="13.5" thickBot="1">
      <c r="B106" s="24"/>
      <c r="C106" s="24"/>
      <c r="D106" s="24"/>
      <c r="E106" s="24"/>
      <c r="F106" s="24"/>
      <c r="G106" s="150"/>
      <c r="H106" s="401"/>
      <c r="I106" s="235"/>
    </row>
    <row r="107" spans="2:9" ht="15.75" thickBot="1">
      <c r="B107" s="255" t="s">
        <v>122</v>
      </c>
      <c r="C107" s="203"/>
      <c r="D107" s="203"/>
      <c r="E107" s="447" t="s">
        <v>119</v>
      </c>
      <c r="F107" s="444"/>
      <c r="G107" s="150"/>
      <c r="H107" s="401"/>
      <c r="I107" s="235"/>
    </row>
    <row r="108" spans="1:9" ht="15.75" thickBot="1">
      <c r="A108" s="150"/>
      <c r="B108" s="764"/>
      <c r="C108" s="762" t="s">
        <v>537</v>
      </c>
      <c r="D108" s="762"/>
      <c r="E108" s="765"/>
      <c r="F108" s="766"/>
      <c r="G108" s="150"/>
      <c r="H108" s="150"/>
      <c r="I108" s="150"/>
    </row>
    <row r="109" spans="1:9" ht="15.75" thickBot="1">
      <c r="A109" s="150"/>
      <c r="B109" s="228"/>
      <c r="C109" s="229"/>
      <c r="D109" s="229"/>
      <c r="E109" s="227"/>
      <c r="F109" s="227"/>
      <c r="G109" s="150"/>
      <c r="H109" s="150"/>
      <c r="I109" s="150"/>
    </row>
    <row r="110" spans="1:9" ht="15">
      <c r="A110" s="150"/>
      <c r="B110" s="255" t="s">
        <v>226</v>
      </c>
      <c r="C110" s="203"/>
      <c r="D110" s="203"/>
      <c r="E110" s="447" t="s">
        <v>141</v>
      </c>
      <c r="F110" s="444"/>
      <c r="G110" s="150"/>
      <c r="H110" s="150"/>
      <c r="I110" s="150"/>
    </row>
    <row r="111" spans="2:9" ht="15.75" thickBot="1">
      <c r="B111" s="111">
        <v>44196</v>
      </c>
      <c r="C111" s="105" t="s">
        <v>2</v>
      </c>
      <c r="D111" s="105"/>
      <c r="E111" s="572"/>
      <c r="F111" s="112">
        <v>2274.85</v>
      </c>
      <c r="H111" s="150"/>
      <c r="I111" s="150"/>
    </row>
    <row r="112" spans="2:9" ht="15">
      <c r="B112" s="437"/>
      <c r="C112" s="191" t="s">
        <v>590</v>
      </c>
      <c r="D112" s="191"/>
      <c r="E112" s="186"/>
      <c r="F112" s="240"/>
      <c r="I112" s="150"/>
    </row>
    <row r="113" spans="2:9" ht="15">
      <c r="B113" s="437">
        <v>44392</v>
      </c>
      <c r="C113" s="191" t="s">
        <v>614</v>
      </c>
      <c r="D113" s="191"/>
      <c r="E113" s="186"/>
      <c r="F113" s="240">
        <v>-2250</v>
      </c>
      <c r="H113" s="481" t="s">
        <v>634</v>
      </c>
      <c r="I113" s="150"/>
    </row>
    <row r="114" spans="2:9" ht="15">
      <c r="B114" s="437"/>
      <c r="C114" s="191"/>
      <c r="D114" s="191"/>
      <c r="E114" s="186"/>
      <c r="F114" s="240"/>
      <c r="I114" s="150"/>
    </row>
    <row r="115" spans="2:9" ht="15">
      <c r="B115" s="437"/>
      <c r="C115" s="191"/>
      <c r="D115" s="191"/>
      <c r="E115" s="186"/>
      <c r="F115" s="240"/>
      <c r="I115" s="150"/>
    </row>
    <row r="116" spans="2:9" ht="15.75" thickBot="1">
      <c r="B116" s="668"/>
      <c r="C116" s="669" t="s">
        <v>589</v>
      </c>
      <c r="D116" s="831"/>
      <c r="E116" s="670"/>
      <c r="F116" s="832">
        <f>SUM(F113:F115)</f>
        <v>-2250</v>
      </c>
      <c r="I116" s="150"/>
    </row>
    <row r="117" spans="2:9" ht="15">
      <c r="B117" s="665"/>
      <c r="C117" s="666" t="s">
        <v>591</v>
      </c>
      <c r="D117" s="666"/>
      <c r="E117" s="667"/>
      <c r="F117" s="841"/>
      <c r="I117" s="150"/>
    </row>
    <row r="118" spans="2:9" ht="15">
      <c r="B118" s="437">
        <v>44293</v>
      </c>
      <c r="C118" s="191" t="s">
        <v>602</v>
      </c>
      <c r="D118" s="191"/>
      <c r="E118" s="186"/>
      <c r="F118" s="833">
        <v>351.03</v>
      </c>
      <c r="H118" t="s">
        <v>376</v>
      </c>
      <c r="I118" s="150"/>
    </row>
    <row r="119" spans="2:9" ht="15">
      <c r="B119" s="437"/>
      <c r="C119" s="191"/>
      <c r="D119" s="191"/>
      <c r="E119" s="186"/>
      <c r="F119" s="833"/>
      <c r="I119" s="150"/>
    </row>
    <row r="120" spans="2:9" ht="15">
      <c r="B120" s="759"/>
      <c r="C120" s="753" t="s">
        <v>592</v>
      </c>
      <c r="D120" s="753"/>
      <c r="E120" s="754"/>
      <c r="F120" s="834">
        <f>SUM(F117:F118)</f>
        <v>351.03</v>
      </c>
      <c r="I120" s="150"/>
    </row>
    <row r="121" spans="2:9" ht="15.75" thickBot="1">
      <c r="B121" s="111">
        <f>B2</f>
        <v>44561</v>
      </c>
      <c r="C121" s="105" t="s">
        <v>2</v>
      </c>
      <c r="D121" s="105"/>
      <c r="E121" s="572"/>
      <c r="F121" s="112">
        <f>F111+F116+F120</f>
        <v>375.8799999999999</v>
      </c>
      <c r="I121" s="150"/>
    </row>
    <row r="122" ht="13.5" thickBot="1">
      <c r="I122" s="150"/>
    </row>
    <row r="123" spans="2:9" ht="15.75" thickBot="1">
      <c r="B123" s="255" t="s">
        <v>593</v>
      </c>
      <c r="C123" s="203"/>
      <c r="D123" s="203"/>
      <c r="E123" s="447" t="s">
        <v>520</v>
      </c>
      <c r="F123" s="444"/>
      <c r="I123" s="150"/>
    </row>
    <row r="124" spans="2:9" ht="4.5" customHeight="1">
      <c r="B124" s="665"/>
      <c r="C124" s="666" t="s">
        <v>426</v>
      </c>
      <c r="D124" s="666"/>
      <c r="E124" s="701" t="s">
        <v>486</v>
      </c>
      <c r="F124" s="507"/>
      <c r="I124" s="150"/>
    </row>
    <row r="125" spans="2:9" ht="15" hidden="1">
      <c r="B125" s="437">
        <v>43727</v>
      </c>
      <c r="C125" s="191" t="s">
        <v>475</v>
      </c>
      <c r="D125" s="191"/>
      <c r="E125" s="186"/>
      <c r="F125" s="240">
        <v>0.97</v>
      </c>
      <c r="H125" s="705" t="s">
        <v>457</v>
      </c>
      <c r="I125" s="150"/>
    </row>
    <row r="126" spans="2:9" ht="15" hidden="1">
      <c r="B126" s="437">
        <v>43731</v>
      </c>
      <c r="C126" s="191" t="s">
        <v>475</v>
      </c>
      <c r="D126" s="191"/>
      <c r="E126" s="186"/>
      <c r="F126" s="240">
        <v>0.97</v>
      </c>
      <c r="H126" s="705" t="s">
        <v>457</v>
      </c>
      <c r="I126" s="150"/>
    </row>
    <row r="127" spans="2:9" ht="15" hidden="1">
      <c r="B127" s="437">
        <v>43761</v>
      </c>
      <c r="C127" s="191" t="s">
        <v>475</v>
      </c>
      <c r="D127" s="191"/>
      <c r="E127" s="186"/>
      <c r="F127" s="240">
        <v>10.69</v>
      </c>
      <c r="H127" s="705" t="s">
        <v>457</v>
      </c>
      <c r="I127" s="150"/>
    </row>
    <row r="128" spans="2:9" ht="15" hidden="1">
      <c r="B128" s="437">
        <v>43762</v>
      </c>
      <c r="C128" s="191" t="s">
        <v>475</v>
      </c>
      <c r="D128" s="191"/>
      <c r="E128" s="186"/>
      <c r="F128" s="240">
        <v>43.74</v>
      </c>
      <c r="H128" s="705" t="s">
        <v>457</v>
      </c>
      <c r="I128" s="150"/>
    </row>
    <row r="129" spans="2:9" ht="15" hidden="1">
      <c r="B129" s="437">
        <v>43766</v>
      </c>
      <c r="C129" s="191" t="s">
        <v>475</v>
      </c>
      <c r="D129" s="191"/>
      <c r="E129" s="186"/>
      <c r="F129" s="240">
        <v>18.48</v>
      </c>
      <c r="H129" s="705" t="s">
        <v>457</v>
      </c>
      <c r="I129" s="150"/>
    </row>
    <row r="130" spans="2:9" ht="15" hidden="1">
      <c r="B130" s="437">
        <v>43768</v>
      </c>
      <c r="C130" s="191" t="s">
        <v>475</v>
      </c>
      <c r="D130" s="191"/>
      <c r="E130" s="186"/>
      <c r="F130" s="240">
        <v>155.6</v>
      </c>
      <c r="H130" s="705" t="s">
        <v>457</v>
      </c>
      <c r="I130" s="150"/>
    </row>
    <row r="131" spans="2:9" ht="15" hidden="1">
      <c r="B131" s="437">
        <v>43811</v>
      </c>
      <c r="C131" s="191" t="s">
        <v>546</v>
      </c>
      <c r="D131" s="191"/>
      <c r="E131" s="186"/>
      <c r="F131" s="240">
        <v>48.61</v>
      </c>
      <c r="H131" s="705" t="s">
        <v>457</v>
      </c>
      <c r="I131" s="150"/>
    </row>
    <row r="132" spans="2:9" ht="15.75" hidden="1" thickBot="1">
      <c r="B132" s="668"/>
      <c r="C132" s="669" t="s">
        <v>427</v>
      </c>
      <c r="D132" s="669"/>
      <c r="E132" s="670"/>
      <c r="F132" s="671">
        <v>279.06</v>
      </c>
      <c r="I132" s="150"/>
    </row>
    <row r="133" spans="1:9" ht="15.75" hidden="1" thickBot="1">
      <c r="A133" s="121"/>
      <c r="B133" s="111">
        <v>43830</v>
      </c>
      <c r="C133" s="105" t="s">
        <v>480</v>
      </c>
      <c r="D133" s="699"/>
      <c r="E133" s="572"/>
      <c r="F133" s="112">
        <v>0</v>
      </c>
      <c r="G133" s="121"/>
      <c r="H133" s="121"/>
      <c r="I133" s="121"/>
    </row>
    <row r="134" spans="1:9" ht="15" hidden="1">
      <c r="A134" s="121"/>
      <c r="B134" s="665"/>
      <c r="C134" s="666" t="s">
        <v>530</v>
      </c>
      <c r="D134" s="767"/>
      <c r="E134" s="667"/>
      <c r="F134" s="507"/>
      <c r="G134" s="121"/>
      <c r="H134" s="121"/>
      <c r="I134" s="121"/>
    </row>
    <row r="135" spans="1:9" ht="15" hidden="1">
      <c r="A135" s="121"/>
      <c r="B135" s="437">
        <v>44040</v>
      </c>
      <c r="C135" s="191" t="s">
        <v>475</v>
      </c>
      <c r="D135" s="263"/>
      <c r="E135" s="186"/>
      <c r="F135" s="240">
        <v>46.19</v>
      </c>
      <c r="G135" s="121"/>
      <c r="H135" s="705" t="s">
        <v>457</v>
      </c>
      <c r="I135" s="121"/>
    </row>
    <row r="136" spans="1:9" ht="15" hidden="1">
      <c r="A136" s="121"/>
      <c r="B136" s="437" t="s">
        <v>550</v>
      </c>
      <c r="C136" s="191" t="s">
        <v>475</v>
      </c>
      <c r="D136" s="263"/>
      <c r="E136" s="186"/>
      <c r="F136" s="240">
        <v>155.6</v>
      </c>
      <c r="G136" s="121"/>
      <c r="H136" s="705" t="s">
        <v>457</v>
      </c>
      <c r="I136" s="121"/>
    </row>
    <row r="137" spans="1:9" ht="15" hidden="1">
      <c r="A137" s="121"/>
      <c r="B137" s="437">
        <v>44105</v>
      </c>
      <c r="C137" s="191" t="s">
        <v>475</v>
      </c>
      <c r="D137" s="263"/>
      <c r="E137" s="186"/>
      <c r="F137" s="240">
        <v>58.35</v>
      </c>
      <c r="G137" s="121"/>
      <c r="H137" s="705" t="s">
        <v>457</v>
      </c>
      <c r="I137" s="121"/>
    </row>
    <row r="138" spans="1:9" ht="7.5" customHeight="1" hidden="1">
      <c r="A138" s="121"/>
      <c r="B138" s="437">
        <v>44114</v>
      </c>
      <c r="C138" s="191" t="s">
        <v>576</v>
      </c>
      <c r="D138" s="263"/>
      <c r="E138" s="186"/>
      <c r="F138" s="240">
        <v>19.45</v>
      </c>
      <c r="G138" s="121"/>
      <c r="H138" s="705" t="s">
        <v>457</v>
      </c>
      <c r="I138" s="121"/>
    </row>
    <row r="139" spans="1:9" ht="15" hidden="1">
      <c r="A139" s="121"/>
      <c r="B139" s="759"/>
      <c r="C139" s="753" t="s">
        <v>532</v>
      </c>
      <c r="D139" s="752"/>
      <c r="E139" s="754"/>
      <c r="F139" s="760">
        <f>SUM(F134:F138)</f>
        <v>279.59</v>
      </c>
      <c r="G139" s="121"/>
      <c r="H139" s="121"/>
      <c r="I139" s="121"/>
    </row>
    <row r="140" spans="1:9" ht="15" hidden="1">
      <c r="A140" s="121"/>
      <c r="B140" s="437"/>
      <c r="C140" s="191" t="s">
        <v>528</v>
      </c>
      <c r="D140" s="263"/>
      <c r="E140" s="186"/>
      <c r="F140" s="240"/>
      <c r="G140" s="121"/>
      <c r="H140" s="121"/>
      <c r="I140" s="121"/>
    </row>
    <row r="141" spans="1:9" ht="15" hidden="1">
      <c r="A141" s="121"/>
      <c r="B141" s="437">
        <v>44109</v>
      </c>
      <c r="C141" s="191" t="s">
        <v>478</v>
      </c>
      <c r="D141" s="263"/>
      <c r="E141" s="186"/>
      <c r="F141" s="240">
        <v>-260.14</v>
      </c>
      <c r="G141" s="121"/>
      <c r="H141" s="705" t="s">
        <v>457</v>
      </c>
      <c r="I141" s="121"/>
    </row>
    <row r="142" spans="1:9" ht="15" hidden="1">
      <c r="A142" s="121"/>
      <c r="B142" s="437">
        <v>44124</v>
      </c>
      <c r="C142" s="191" t="s">
        <v>575</v>
      </c>
      <c r="D142" s="263"/>
      <c r="E142" s="186"/>
      <c r="F142" s="240">
        <v>-19.95</v>
      </c>
      <c r="G142" s="121"/>
      <c r="H142" s="705" t="s">
        <v>457</v>
      </c>
      <c r="I142" s="121"/>
    </row>
    <row r="143" spans="1:9" ht="15" hidden="1">
      <c r="A143" s="121"/>
      <c r="B143" s="437"/>
      <c r="C143" s="191"/>
      <c r="D143" s="263"/>
      <c r="E143" s="186"/>
      <c r="F143" s="240"/>
      <c r="G143" s="121"/>
      <c r="H143" s="121"/>
      <c r="I143" s="121"/>
    </row>
    <row r="144" spans="1:9" ht="15">
      <c r="A144" s="121"/>
      <c r="B144" s="759"/>
      <c r="C144" s="753" t="s">
        <v>533</v>
      </c>
      <c r="D144" s="753"/>
      <c r="E144" s="754"/>
      <c r="F144" s="760">
        <f>SUM(F140:F143)</f>
        <v>-280.09</v>
      </c>
      <c r="G144" s="121"/>
      <c r="H144" s="121"/>
      <c r="I144" s="121"/>
    </row>
    <row r="145" spans="1:9" ht="15.75" thickBot="1">
      <c r="A145" s="121"/>
      <c r="B145" s="111">
        <v>44196</v>
      </c>
      <c r="C145" s="105" t="s">
        <v>2</v>
      </c>
      <c r="D145" s="105"/>
      <c r="E145" s="572"/>
      <c r="F145" s="112">
        <v>-0.5</v>
      </c>
      <c r="G145" s="121"/>
      <c r="H145" s="121"/>
      <c r="I145" s="121"/>
    </row>
    <row r="146" spans="1:9" ht="15">
      <c r="A146" s="121"/>
      <c r="B146" s="437"/>
      <c r="C146" s="191" t="s">
        <v>590</v>
      </c>
      <c r="D146" s="191"/>
      <c r="E146" s="186"/>
      <c r="F146" s="240"/>
      <c r="G146" s="121"/>
      <c r="H146" s="121"/>
      <c r="I146" s="121"/>
    </row>
    <row r="147" spans="1:9" ht="15">
      <c r="A147" s="121"/>
      <c r="B147" s="437">
        <v>44245</v>
      </c>
      <c r="C147" s="191" t="s">
        <v>597</v>
      </c>
      <c r="D147" s="191"/>
      <c r="E147" s="186"/>
      <c r="F147" s="240">
        <v>-14.59</v>
      </c>
      <c r="G147" s="121"/>
      <c r="H147" s="121" t="s">
        <v>376</v>
      </c>
      <c r="I147" s="121"/>
    </row>
    <row r="148" spans="1:9" ht="15">
      <c r="A148" s="121"/>
      <c r="B148" s="437">
        <v>44280</v>
      </c>
      <c r="C148" s="191" t="s">
        <v>597</v>
      </c>
      <c r="D148" s="191"/>
      <c r="E148" s="186"/>
      <c r="F148" s="240">
        <v>-18.95</v>
      </c>
      <c r="G148" s="121"/>
      <c r="H148" s="121" t="s">
        <v>376</v>
      </c>
      <c r="I148" s="121"/>
    </row>
    <row r="149" spans="1:9" ht="15">
      <c r="A149" s="121"/>
      <c r="B149" s="437">
        <v>44281</v>
      </c>
      <c r="C149" s="191" t="s">
        <v>601</v>
      </c>
      <c r="D149" s="191"/>
      <c r="E149" s="186"/>
      <c r="F149" s="240">
        <v>-77.8</v>
      </c>
      <c r="G149" s="121"/>
      <c r="H149" s="121" t="s">
        <v>376</v>
      </c>
      <c r="I149" s="121"/>
    </row>
    <row r="150" spans="1:9" ht="15">
      <c r="A150" s="121"/>
      <c r="B150" s="437">
        <v>44308</v>
      </c>
      <c r="C150" s="191" t="s">
        <v>601</v>
      </c>
      <c r="D150" s="191"/>
      <c r="E150" s="186"/>
      <c r="F150" s="240">
        <v>-82.63</v>
      </c>
      <c r="G150" s="121"/>
      <c r="H150" s="121" t="s">
        <v>376</v>
      </c>
      <c r="I150" s="121"/>
    </row>
    <row r="151" spans="1:9" ht="15">
      <c r="A151" s="121"/>
      <c r="B151" s="437">
        <v>44312</v>
      </c>
      <c r="C151" s="191" t="s">
        <v>607</v>
      </c>
      <c r="D151" s="191"/>
      <c r="E151" s="186"/>
      <c r="F151" s="240">
        <v>-10</v>
      </c>
      <c r="G151" s="121"/>
      <c r="H151" s="121" t="s">
        <v>376</v>
      </c>
      <c r="I151" s="852" t="s">
        <v>608</v>
      </c>
    </row>
    <row r="152" spans="1:9" ht="15">
      <c r="A152" s="121"/>
      <c r="B152" s="437">
        <v>44312</v>
      </c>
      <c r="C152" s="191" t="s">
        <v>601</v>
      </c>
      <c r="D152" s="191"/>
      <c r="E152" s="186"/>
      <c r="F152" s="240">
        <v>-9.94</v>
      </c>
      <c r="G152" s="121"/>
      <c r="H152" s="121" t="s">
        <v>376</v>
      </c>
      <c r="I152" s="121"/>
    </row>
    <row r="153" spans="1:9" ht="15">
      <c r="A153" s="121"/>
      <c r="B153" s="437">
        <v>44320</v>
      </c>
      <c r="C153" s="191" t="s">
        <v>601</v>
      </c>
      <c r="D153" s="191"/>
      <c r="E153" s="186"/>
      <c r="F153" s="240">
        <v>-25</v>
      </c>
      <c r="G153" s="121"/>
      <c r="H153" s="121" t="s">
        <v>376</v>
      </c>
      <c r="I153" s="121"/>
    </row>
    <row r="154" spans="1:9" ht="15">
      <c r="A154" s="121"/>
      <c r="B154" s="437">
        <v>44471</v>
      </c>
      <c r="C154" s="191" t="s">
        <v>601</v>
      </c>
      <c r="D154" s="191"/>
      <c r="E154" s="186"/>
      <c r="F154" s="240">
        <v>-66.3</v>
      </c>
      <c r="G154" s="121"/>
      <c r="H154" s="121" t="s">
        <v>376</v>
      </c>
      <c r="I154" s="121"/>
    </row>
    <row r="155" spans="1:9" ht="15">
      <c r="A155" s="121"/>
      <c r="B155" s="437">
        <v>44502</v>
      </c>
      <c r="C155" s="191" t="s">
        <v>601</v>
      </c>
      <c r="D155" s="191"/>
      <c r="E155" s="186"/>
      <c r="F155" s="240">
        <v>-29.17</v>
      </c>
      <c r="G155" s="121"/>
      <c r="H155" s="121" t="s">
        <v>376</v>
      </c>
      <c r="I155" s="121"/>
    </row>
    <row r="156" spans="1:9" ht="15">
      <c r="A156" s="121"/>
      <c r="B156" s="437">
        <v>44503</v>
      </c>
      <c r="C156" s="191" t="s">
        <v>601</v>
      </c>
      <c r="D156" s="191"/>
      <c r="E156" s="186"/>
      <c r="F156" s="240">
        <v>-97.25</v>
      </c>
      <c r="G156" s="121"/>
      <c r="H156" s="121" t="s">
        <v>376</v>
      </c>
      <c r="I156" s="121"/>
    </row>
    <row r="157" spans="1:9" ht="15">
      <c r="A157" s="121"/>
      <c r="B157" s="437">
        <v>44509</v>
      </c>
      <c r="C157" s="191" t="s">
        <v>601</v>
      </c>
      <c r="D157" s="191"/>
      <c r="E157" s="186"/>
      <c r="F157" s="240">
        <v>-106.97</v>
      </c>
      <c r="G157" s="121"/>
      <c r="H157" s="121" t="s">
        <v>376</v>
      </c>
      <c r="I157" s="121"/>
    </row>
    <row r="158" spans="1:9" ht="15">
      <c r="A158" s="121"/>
      <c r="B158" s="437"/>
      <c r="C158" s="191"/>
      <c r="D158" s="191"/>
      <c r="E158" s="186"/>
      <c r="F158" s="240"/>
      <c r="G158" s="121"/>
      <c r="H158" s="121"/>
      <c r="I158" s="121"/>
    </row>
    <row r="159" spans="1:9" ht="15.75" thickBot="1">
      <c r="A159" s="121"/>
      <c r="B159" s="668"/>
      <c r="C159" s="669" t="s">
        <v>589</v>
      </c>
      <c r="D159" s="831"/>
      <c r="E159" s="670"/>
      <c r="F159" s="671">
        <f>SUM(F147:F157)</f>
        <v>-538.6</v>
      </c>
      <c r="G159" s="121"/>
      <c r="H159" s="121"/>
      <c r="I159" s="121"/>
    </row>
    <row r="160" spans="1:9" ht="15">
      <c r="A160" s="121"/>
      <c r="B160" s="665"/>
      <c r="C160" s="666" t="s">
        <v>591</v>
      </c>
      <c r="D160" s="666"/>
      <c r="E160" s="667"/>
      <c r="F160" s="841"/>
      <c r="G160" s="121"/>
      <c r="H160" s="121"/>
      <c r="I160" s="121"/>
    </row>
    <row r="161" spans="1:9" ht="15">
      <c r="A161" s="121"/>
      <c r="B161" s="437">
        <v>44245</v>
      </c>
      <c r="C161" s="191" t="s">
        <v>347</v>
      </c>
      <c r="D161" s="191"/>
      <c r="E161" s="186"/>
      <c r="F161" s="240">
        <v>14.59</v>
      </c>
      <c r="G161" s="121"/>
      <c r="H161" s="121" t="s">
        <v>376</v>
      </c>
      <c r="I161" s="121"/>
    </row>
    <row r="162" spans="1:9" ht="15">
      <c r="A162" s="121"/>
      <c r="B162" s="437">
        <v>44280</v>
      </c>
      <c r="C162" s="191" t="s">
        <v>347</v>
      </c>
      <c r="D162" s="191"/>
      <c r="E162" s="186"/>
      <c r="F162" s="240">
        <v>19.45</v>
      </c>
      <c r="G162" s="121"/>
      <c r="H162" s="121" t="s">
        <v>376</v>
      </c>
      <c r="I162" s="121"/>
    </row>
    <row r="163" spans="1:9" ht="15">
      <c r="A163" s="121"/>
      <c r="B163" s="437">
        <v>44281</v>
      </c>
      <c r="C163" s="191" t="s">
        <v>347</v>
      </c>
      <c r="D163" s="191"/>
      <c r="E163" s="186"/>
      <c r="F163" s="240">
        <v>77.8</v>
      </c>
      <c r="G163" s="121"/>
      <c r="H163" s="121" t="s">
        <v>376</v>
      </c>
      <c r="I163" s="121"/>
    </row>
    <row r="164" spans="1:9" ht="15">
      <c r="A164" s="121"/>
      <c r="B164" s="437">
        <v>44277</v>
      </c>
      <c r="C164" s="191" t="s">
        <v>347</v>
      </c>
      <c r="D164" s="191"/>
      <c r="E164" s="186"/>
      <c r="F164" s="240">
        <v>82.63</v>
      </c>
      <c r="G164" s="121"/>
      <c r="H164" s="121" t="s">
        <v>376</v>
      </c>
      <c r="I164" s="121"/>
    </row>
    <row r="165" spans="1:9" ht="15">
      <c r="A165" s="121"/>
      <c r="B165" s="437">
        <v>44309</v>
      </c>
      <c r="C165" s="191" t="s">
        <v>347</v>
      </c>
      <c r="D165" s="191"/>
      <c r="E165" s="186"/>
      <c r="F165" s="240">
        <v>19.44</v>
      </c>
      <c r="G165" s="121"/>
      <c r="H165" s="121" t="s">
        <v>376</v>
      </c>
      <c r="I165" s="121"/>
    </row>
    <row r="166" spans="1:9" ht="15">
      <c r="A166" s="121"/>
      <c r="B166" s="437">
        <v>44314</v>
      </c>
      <c r="C166" s="191" t="s">
        <v>609</v>
      </c>
      <c r="D166" s="191"/>
      <c r="E166" s="186"/>
      <c r="F166" s="240">
        <v>20</v>
      </c>
      <c r="G166" s="121"/>
      <c r="H166" s="121" t="s">
        <v>376</v>
      </c>
      <c r="I166" s="121"/>
    </row>
    <row r="167" spans="1:9" ht="15">
      <c r="A167" s="121"/>
      <c r="B167" s="437">
        <v>44315</v>
      </c>
      <c r="C167" s="191" t="s">
        <v>610</v>
      </c>
      <c r="D167" s="191"/>
      <c r="E167" s="186"/>
      <c r="F167" s="240">
        <v>5</v>
      </c>
      <c r="G167" s="121"/>
      <c r="H167" s="121" t="s">
        <v>376</v>
      </c>
      <c r="I167" s="121"/>
    </row>
    <row r="168" spans="1:9" ht="15">
      <c r="A168" s="121"/>
      <c r="B168" s="437">
        <v>44320</v>
      </c>
      <c r="C168" s="191" t="s">
        <v>611</v>
      </c>
      <c r="D168" s="191"/>
      <c r="E168" s="186"/>
      <c r="F168" s="240">
        <v>10</v>
      </c>
      <c r="G168" s="121"/>
      <c r="H168" s="121" t="s">
        <v>376</v>
      </c>
      <c r="I168" s="121"/>
    </row>
    <row r="169" spans="1:9" ht="15">
      <c r="A169" s="121"/>
      <c r="B169" s="437">
        <v>44324</v>
      </c>
      <c r="C169" s="191" t="s">
        <v>612</v>
      </c>
      <c r="D169" s="191"/>
      <c r="E169" s="186"/>
      <c r="F169" s="240">
        <v>5</v>
      </c>
      <c r="G169" s="121"/>
      <c r="H169" s="121" t="s">
        <v>376</v>
      </c>
      <c r="I169" s="121"/>
    </row>
    <row r="170" spans="1:9" ht="15">
      <c r="A170" s="121"/>
      <c r="B170" s="437">
        <v>44471</v>
      </c>
      <c r="C170" s="191" t="s">
        <v>621</v>
      </c>
      <c r="D170" s="191"/>
      <c r="E170" s="186"/>
      <c r="F170" s="240">
        <v>76.28</v>
      </c>
      <c r="G170" s="121"/>
      <c r="H170" s="121" t="s">
        <v>376</v>
      </c>
      <c r="I170" s="121"/>
    </row>
    <row r="171" spans="1:9" ht="15">
      <c r="A171" s="121"/>
      <c r="B171" s="437">
        <v>44495</v>
      </c>
      <c r="C171" s="191" t="s">
        <v>621</v>
      </c>
      <c r="D171" s="191"/>
      <c r="E171" s="186"/>
      <c r="F171" s="240">
        <v>29.17</v>
      </c>
      <c r="G171" s="121"/>
      <c r="H171" s="121" t="s">
        <v>376</v>
      </c>
      <c r="I171" s="121"/>
    </row>
    <row r="172" spans="1:9" ht="15">
      <c r="A172" s="121"/>
      <c r="B172" s="437">
        <v>44497</v>
      </c>
      <c r="C172" s="191" t="s">
        <v>621</v>
      </c>
      <c r="D172" s="191"/>
      <c r="E172" s="186"/>
      <c r="F172" s="240">
        <v>97.25</v>
      </c>
      <c r="G172" s="121"/>
      <c r="H172" s="121" t="s">
        <v>376</v>
      </c>
      <c r="I172" s="121"/>
    </row>
    <row r="173" spans="1:9" ht="15">
      <c r="A173" s="121"/>
      <c r="B173" s="437">
        <v>44509</v>
      </c>
      <c r="C173" s="191" t="s">
        <v>621</v>
      </c>
      <c r="D173" s="191"/>
      <c r="E173" s="186"/>
      <c r="F173" s="240">
        <v>106.97</v>
      </c>
      <c r="G173" s="121"/>
      <c r="H173" s="121" t="s">
        <v>376</v>
      </c>
      <c r="I173" s="121"/>
    </row>
    <row r="174" spans="1:9" ht="15">
      <c r="A174" s="121"/>
      <c r="B174" s="437"/>
      <c r="C174" s="191"/>
      <c r="D174" s="191"/>
      <c r="E174" s="186"/>
      <c r="F174" s="240"/>
      <c r="G174" s="121"/>
      <c r="H174" s="121"/>
      <c r="I174" s="121"/>
    </row>
    <row r="175" spans="1:9" ht="15.75" thickBot="1">
      <c r="A175" s="121"/>
      <c r="B175" s="759"/>
      <c r="C175" s="753" t="s">
        <v>592</v>
      </c>
      <c r="D175" s="753"/>
      <c r="E175" s="754"/>
      <c r="F175" s="671">
        <f>SUM(F161:F173)</f>
        <v>563.58</v>
      </c>
      <c r="G175" s="121"/>
      <c r="H175" s="121"/>
      <c r="I175" s="121"/>
    </row>
    <row r="176" spans="1:9" ht="15.75" thickBot="1">
      <c r="A176" s="121"/>
      <c r="B176" s="111"/>
      <c r="C176" s="105" t="s">
        <v>2</v>
      </c>
      <c r="D176" s="105"/>
      <c r="E176" s="572"/>
      <c r="F176" s="112">
        <f>F145+F159+F175</f>
        <v>24.480000000000018</v>
      </c>
      <c r="G176" s="121"/>
      <c r="H176" s="121"/>
      <c r="I176" s="121"/>
    </row>
    <row r="177" spans="2:6" s="121" customFormat="1" ht="15.75" thickBot="1">
      <c r="B177" s="473"/>
      <c r="C177" s="149"/>
      <c r="D177" s="149"/>
      <c r="E177" s="698"/>
      <c r="F177" s="227"/>
    </row>
    <row r="178" spans="2:6" ht="15">
      <c r="B178" s="255" t="s">
        <v>566</v>
      </c>
      <c r="C178" s="203"/>
      <c r="D178" s="203"/>
      <c r="E178" s="447" t="s">
        <v>243</v>
      </c>
      <c r="F178" s="444"/>
    </row>
    <row r="179" spans="2:6" ht="15">
      <c r="B179" s="579">
        <v>43830</v>
      </c>
      <c r="C179" s="225"/>
      <c r="D179" s="225"/>
      <c r="E179" s="226"/>
      <c r="F179" s="660">
        <v>704.3300000000072</v>
      </c>
    </row>
    <row r="180" spans="2:6" ht="15">
      <c r="B180" s="119">
        <v>44109</v>
      </c>
      <c r="C180" s="262" t="s">
        <v>552</v>
      </c>
      <c r="D180" s="130"/>
      <c r="E180" s="262"/>
      <c r="F180" s="173">
        <v>704.330000000009</v>
      </c>
    </row>
    <row r="181" spans="2:6" ht="14.25" customHeight="1">
      <c r="B181" s="820"/>
      <c r="C181" s="821" t="s">
        <v>567</v>
      </c>
      <c r="D181" s="752"/>
      <c r="E181" s="821"/>
      <c r="F181" s="760"/>
    </row>
    <row r="182" spans="2:6" ht="15" hidden="1">
      <c r="B182" s="406">
        <v>44112</v>
      </c>
      <c r="C182" s="241" t="s">
        <v>555</v>
      </c>
      <c r="D182" s="263"/>
      <c r="E182" s="241" t="s">
        <v>556</v>
      </c>
      <c r="F182" s="240">
        <f>0.02</f>
        <v>0.02</v>
      </c>
    </row>
    <row r="183" spans="2:6" ht="15" hidden="1">
      <c r="B183" s="406">
        <v>44112</v>
      </c>
      <c r="C183" s="241" t="s">
        <v>560</v>
      </c>
      <c r="D183" s="263"/>
      <c r="E183" s="241" t="s">
        <v>557</v>
      </c>
      <c r="F183" s="240">
        <f>-F23</f>
        <v>235.51</v>
      </c>
    </row>
    <row r="184" spans="2:6" ht="15" hidden="1">
      <c r="B184" s="406">
        <v>44112</v>
      </c>
      <c r="C184" s="241" t="s">
        <v>572</v>
      </c>
      <c r="D184" s="263"/>
      <c r="E184" s="241" t="s">
        <v>571</v>
      </c>
      <c r="F184" s="240">
        <v>31.44</v>
      </c>
    </row>
    <row r="185" spans="2:6" ht="15" hidden="1">
      <c r="B185" s="406">
        <v>44112</v>
      </c>
      <c r="C185" s="241" t="s">
        <v>561</v>
      </c>
      <c r="D185" s="263"/>
      <c r="E185" s="241" t="s">
        <v>558</v>
      </c>
      <c r="F185" s="240">
        <v>48.66</v>
      </c>
    </row>
    <row r="186" spans="2:6" ht="15" hidden="1">
      <c r="B186" s="406"/>
      <c r="C186" s="241" t="s">
        <v>594</v>
      </c>
      <c r="D186" s="263"/>
      <c r="E186" s="248" t="s">
        <v>520</v>
      </c>
      <c r="F186" s="240">
        <v>0.5</v>
      </c>
    </row>
    <row r="187" spans="2:6" ht="15" hidden="1">
      <c r="B187" s="820"/>
      <c r="C187" s="821" t="s">
        <v>568</v>
      </c>
      <c r="D187" s="752"/>
      <c r="E187" s="822"/>
      <c r="F187" s="760">
        <f>SUM(F182:F186)</f>
        <v>316.13</v>
      </c>
    </row>
    <row r="188" spans="2:6" ht="12" customHeight="1">
      <c r="B188" s="406"/>
      <c r="C188" s="241"/>
      <c r="D188" s="263"/>
      <c r="E188" s="248"/>
      <c r="F188" s="240"/>
    </row>
    <row r="189" spans="2:6" ht="15">
      <c r="B189" s="119">
        <v>44196</v>
      </c>
      <c r="C189" s="262" t="s">
        <v>552</v>
      </c>
      <c r="D189" s="130"/>
      <c r="E189" s="262"/>
      <c r="F189" s="173">
        <f>F180+F187</f>
        <v>1020.460000000009</v>
      </c>
    </row>
    <row r="190" spans="2:6" ht="15">
      <c r="B190" s="820"/>
      <c r="C190" s="821" t="s">
        <v>595</v>
      </c>
      <c r="D190" s="752"/>
      <c r="E190" s="822"/>
      <c r="F190" s="760"/>
    </row>
    <row r="191" spans="2:6" ht="15">
      <c r="B191" s="406"/>
      <c r="C191" s="241"/>
      <c r="D191" s="263"/>
      <c r="E191" s="248"/>
      <c r="F191" s="240"/>
    </row>
    <row r="192" spans="2:6" ht="15">
      <c r="B192" s="845"/>
      <c r="C192" s="846" t="s">
        <v>596</v>
      </c>
      <c r="D192" s="847"/>
      <c r="E192" s="848"/>
      <c r="F192" s="849"/>
    </row>
    <row r="193" spans="2:8" ht="15">
      <c r="B193" s="406">
        <v>44280</v>
      </c>
      <c r="C193" s="241" t="s">
        <v>599</v>
      </c>
      <c r="D193" s="263"/>
      <c r="E193" s="248"/>
      <c r="F193" s="240">
        <v>-200</v>
      </c>
      <c r="H193" t="s">
        <v>509</v>
      </c>
    </row>
    <row r="194" spans="2:6" ht="15">
      <c r="B194" s="845"/>
      <c r="C194" s="846"/>
      <c r="D194" s="847"/>
      <c r="E194" s="848"/>
      <c r="F194" s="849"/>
    </row>
    <row r="195" spans="2:6" ht="15.75" thickBot="1">
      <c r="B195" s="823">
        <f>B2</f>
        <v>44561</v>
      </c>
      <c r="C195" s="824" t="s">
        <v>566</v>
      </c>
      <c r="D195" s="699"/>
      <c r="E195" s="825"/>
      <c r="F195" s="112">
        <f>F189+F190+F193</f>
        <v>820.460000000009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8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3.421875" style="0" customWidth="1"/>
    <col min="2" max="2" width="6.28125" style="0" customWidth="1"/>
    <col min="3" max="4" width="20.00390625" style="0" customWidth="1"/>
    <col min="5" max="5" width="6.57421875" style="0" customWidth="1"/>
    <col min="6" max="6" width="35.00390625" style="0" customWidth="1"/>
    <col min="7" max="7" width="7.8515625" style="0" customWidth="1"/>
    <col min="8" max="8" width="16.00390625" style="0" customWidth="1"/>
    <col min="9" max="9" width="17.00390625" style="0" customWidth="1"/>
    <col min="11" max="11" width="17.00390625" style="0" customWidth="1"/>
  </cols>
  <sheetData>
    <row r="1" spans="1:9" ht="18" thickBot="1">
      <c r="A1" s="294" t="s">
        <v>168</v>
      </c>
      <c r="B1" s="295"/>
      <c r="C1" s="295"/>
      <c r="D1" s="295"/>
      <c r="E1" s="296"/>
      <c r="F1" s="297"/>
      <c r="G1" s="297"/>
      <c r="H1" s="297"/>
      <c r="I1" s="809"/>
    </row>
    <row r="2" spans="1:9" ht="21" thickBot="1">
      <c r="A2" s="454" t="s">
        <v>578</v>
      </c>
      <c r="B2" s="299"/>
      <c r="C2" s="95" t="s">
        <v>579</v>
      </c>
      <c r="D2" s="95"/>
      <c r="E2" s="300"/>
      <c r="F2" s="301"/>
      <c r="G2" s="301"/>
      <c r="H2" s="301"/>
      <c r="I2" s="810"/>
    </row>
    <row r="3" spans="1:9" ht="15">
      <c r="A3" s="306"/>
      <c r="B3" s="307"/>
      <c r="C3" s="307"/>
      <c r="D3" s="307"/>
      <c r="E3" s="308"/>
      <c r="F3" s="309"/>
      <c r="G3" s="309"/>
      <c r="H3" s="309"/>
      <c r="I3" s="512"/>
    </row>
    <row r="4" spans="1:9" ht="15">
      <c r="A4" s="900" t="s">
        <v>580</v>
      </c>
      <c r="B4" s="901"/>
      <c r="C4" s="901"/>
      <c r="D4" s="901"/>
      <c r="E4" s="901"/>
      <c r="F4" s="901"/>
      <c r="G4" s="901"/>
      <c r="H4" s="901"/>
      <c r="I4" s="902"/>
    </row>
    <row r="5" spans="1:9" ht="15">
      <c r="A5" s="316" t="s">
        <v>173</v>
      </c>
      <c r="B5" s="48"/>
      <c r="C5" s="48"/>
      <c r="D5" s="48"/>
      <c r="E5" s="33"/>
      <c r="F5" s="317" t="s">
        <v>174</v>
      </c>
      <c r="G5" s="317"/>
      <c r="H5" s="317"/>
      <c r="I5" s="513"/>
    </row>
    <row r="6" spans="1:9" ht="15">
      <c r="A6" s="213"/>
      <c r="B6" s="39"/>
      <c r="C6" s="120">
        <v>44196</v>
      </c>
      <c r="D6" s="322">
        <v>43830</v>
      </c>
      <c r="E6" s="33"/>
      <c r="F6" s="324"/>
      <c r="G6" s="324"/>
      <c r="H6" s="323">
        <v>44196</v>
      </c>
      <c r="I6" s="323">
        <v>43830</v>
      </c>
    </row>
    <row r="7" spans="1:9" ht="15">
      <c r="A7" s="213"/>
      <c r="B7" s="39"/>
      <c r="D7" s="39"/>
      <c r="E7" s="33"/>
      <c r="F7" s="324"/>
      <c r="G7" s="324"/>
      <c r="I7" s="324"/>
    </row>
    <row r="8" spans="1:9" ht="15">
      <c r="A8" s="213" t="s">
        <v>522</v>
      </c>
      <c r="B8" s="39"/>
      <c r="C8" s="132">
        <f>'31 dec 2020'!C13</f>
        <v>0</v>
      </c>
      <c r="D8" s="215">
        <f>'31 dec 2019'!C16</f>
        <v>0.02</v>
      </c>
      <c r="E8" s="33"/>
      <c r="F8" s="388" t="s">
        <v>204</v>
      </c>
      <c r="G8" s="388"/>
      <c r="H8" s="515">
        <f>-SUM(H10:H18)+H23</f>
        <v>1020.4599999999991</v>
      </c>
      <c r="I8" s="515">
        <f>'project 2019'!F245</f>
        <v>704.330000000009</v>
      </c>
    </row>
    <row r="9" spans="1:9" ht="15">
      <c r="A9" s="213" t="s">
        <v>293</v>
      </c>
      <c r="B9" s="39"/>
      <c r="C9" s="132">
        <f>'31 dec 2020'!C14</f>
        <v>4544.91</v>
      </c>
      <c r="D9" s="215">
        <f>'31 dec 2019'!C17</f>
        <v>4415.41</v>
      </c>
      <c r="E9" s="33"/>
      <c r="F9" s="331"/>
      <c r="G9" s="331"/>
      <c r="I9" s="253"/>
    </row>
    <row r="10" spans="1:9" ht="15">
      <c r="A10" s="711"/>
      <c r="B10" s="24"/>
      <c r="C10" s="132"/>
      <c r="D10" s="215"/>
      <c r="E10" s="33"/>
      <c r="F10" s="331" t="str">
        <f>'31 dec 2019'!E16</f>
        <v>*Tuinwerkgroep</v>
      </c>
      <c r="G10" s="487">
        <f>'31 dec 2019'!F16</f>
        <v>1</v>
      </c>
      <c r="H10" s="804">
        <f>'project 2020'!F11</f>
        <v>0</v>
      </c>
      <c r="I10" s="235">
        <f>'project 2019'!F15</f>
        <v>0.02</v>
      </c>
    </row>
    <row r="11" spans="1:9" ht="15">
      <c r="A11" s="237"/>
      <c r="B11" s="24"/>
      <c r="C11" s="132"/>
      <c r="D11" s="215"/>
      <c r="E11" s="33"/>
      <c r="F11" s="331" t="str">
        <f>'31 dec 2019'!E19</f>
        <v>*Reservering diversen</v>
      </c>
      <c r="G11" s="487">
        <f>'31 dec 2019'!F19</f>
        <v>4</v>
      </c>
      <c r="H11" s="773">
        <f>'project 2020'!F36</f>
        <v>0.10000000000002274</v>
      </c>
      <c r="I11" s="235">
        <f>'project 2019'!F66</f>
        <v>354.98</v>
      </c>
    </row>
    <row r="12" spans="1:9" ht="15">
      <c r="A12" s="213" t="s">
        <v>73</v>
      </c>
      <c r="B12" s="39"/>
      <c r="C12" s="132">
        <f>'31 dec 2020'!C19</f>
        <v>12999.529999999999</v>
      </c>
      <c r="D12" s="215">
        <f>'31 dec 2019'!C22</f>
        <v>23863.16</v>
      </c>
      <c r="E12" s="33"/>
      <c r="F12" s="331" t="str">
        <f>'31 dec 2019'!E21</f>
        <v>*Te besteden herinrichting ruimte</v>
      </c>
      <c r="G12" s="487">
        <f>'31 dec 2019'!F21</f>
        <v>6</v>
      </c>
      <c r="H12" s="774">
        <f>'project 2020'!F49</f>
        <v>0</v>
      </c>
      <c r="I12" s="235">
        <f>'project 2019'!F83</f>
        <v>31.44</v>
      </c>
    </row>
    <row r="13" spans="1:9" ht="15">
      <c r="A13" s="711"/>
      <c r="B13" s="214"/>
      <c r="C13" s="215"/>
      <c r="D13" s="24"/>
      <c r="E13" s="33"/>
      <c r="F13" s="331" t="str">
        <f>'31 dec 2019'!E22</f>
        <v>*Te besteden 50 dingen boekje</v>
      </c>
      <c r="G13" s="487">
        <f>'31 dec 2019'!F22</f>
        <v>7</v>
      </c>
      <c r="H13" s="798">
        <f>'project 2020'!F98</f>
        <v>12999.53</v>
      </c>
      <c r="I13" s="235">
        <f>'project 2019'!F131</f>
        <v>23863.16</v>
      </c>
    </row>
    <row r="14" spans="1:9" ht="15">
      <c r="A14" s="237"/>
      <c r="B14" s="24"/>
      <c r="C14" s="24"/>
      <c r="D14" s="24"/>
      <c r="E14" s="33"/>
      <c r="F14" s="331" t="str">
        <f>'31 dec 2019'!E23</f>
        <v>*Basisonderwijs/st. Ronde Venen fonds</v>
      </c>
      <c r="G14" s="487">
        <f>'31 dec 2019'!F23</f>
        <v>8</v>
      </c>
      <c r="H14" s="798">
        <f>'project 2020'!F120</f>
        <v>1250</v>
      </c>
      <c r="I14" s="235">
        <f>'project 2019'!F156</f>
        <v>1250</v>
      </c>
    </row>
    <row r="15" spans="1:9" ht="15">
      <c r="A15" s="238"/>
      <c r="B15" s="224"/>
      <c r="C15" s="224"/>
      <c r="D15" s="24"/>
      <c r="E15" s="33"/>
      <c r="F15" s="331" t="str">
        <f>'31 dec 2019'!E24</f>
        <v>*Stichting Doen/Oranjefonds</v>
      </c>
      <c r="G15" s="487">
        <f>'31 dec 2019'!F24</f>
        <v>9</v>
      </c>
      <c r="H15" s="798">
        <f>'project 2020'!F136</f>
        <v>0</v>
      </c>
      <c r="I15" s="235">
        <f>'project 2019'!F171</f>
        <v>48.66</v>
      </c>
    </row>
    <row r="16" spans="1:9" ht="15">
      <c r="A16" s="238"/>
      <c r="B16" s="224"/>
      <c r="C16" s="224"/>
      <c r="D16" s="24"/>
      <c r="E16" s="33"/>
      <c r="F16" s="331" t="str">
        <f>'31 dec 2019'!E26</f>
        <v>*25 jarig bestaan</v>
      </c>
      <c r="G16" s="487">
        <f>'31 dec 2019'!F26</f>
        <v>11</v>
      </c>
      <c r="H16" s="773">
        <f>'project 2020'!F152</f>
        <v>0</v>
      </c>
      <c r="I16" s="235">
        <f>'project 2019'!F205</f>
        <v>0</v>
      </c>
    </row>
    <row r="17" spans="1:9" ht="15">
      <c r="A17" s="213"/>
      <c r="B17" s="39"/>
      <c r="C17" s="39"/>
      <c r="D17" s="24"/>
      <c r="E17" s="33"/>
      <c r="F17" s="331" t="str">
        <f>'31 dec 2019'!E27</f>
        <v>*Ontwikkeling NME (1)</v>
      </c>
      <c r="G17" s="487">
        <f>'31 dec 2019'!F27</f>
        <v>12</v>
      </c>
      <c r="H17" s="132">
        <f>'project 2020'!F169</f>
        <v>2274.85</v>
      </c>
      <c r="I17" s="235">
        <f>'project 2019'!F223</f>
        <v>2026</v>
      </c>
    </row>
    <row r="18" spans="1:9" ht="15">
      <c r="A18" s="213"/>
      <c r="B18" s="39"/>
      <c r="C18" s="39"/>
      <c r="D18" s="24"/>
      <c r="E18" s="33"/>
      <c r="F18" s="331" t="str">
        <f>'31 dec 2019'!E28</f>
        <v>Izettle</v>
      </c>
      <c r="G18" s="487">
        <f>'31 dec 2019'!F28</f>
        <v>13</v>
      </c>
      <c r="H18" s="132">
        <f>'project 2020'!F196</f>
        <v>-0.5</v>
      </c>
      <c r="I18" s="215">
        <f>'project 2019'!F239</f>
        <v>0</v>
      </c>
    </row>
    <row r="19" spans="1:9" ht="15">
      <c r="A19" s="213"/>
      <c r="B19" s="39"/>
      <c r="C19" s="39"/>
      <c r="D19" s="24"/>
      <c r="E19" s="33"/>
      <c r="F19" s="253"/>
      <c r="G19" s="401"/>
      <c r="H19" s="235"/>
      <c r="I19" s="578"/>
    </row>
    <row r="20" spans="1:9" ht="15">
      <c r="A20" s="213"/>
      <c r="B20" s="39"/>
      <c r="C20" s="39"/>
      <c r="D20" s="24"/>
      <c r="E20" s="33"/>
      <c r="F20" s="24"/>
      <c r="G20" s="24"/>
      <c r="H20" s="24"/>
      <c r="I20" s="58"/>
    </row>
    <row r="21" spans="1:11" ht="15">
      <c r="A21" s="213"/>
      <c r="B21" s="39"/>
      <c r="C21" s="39"/>
      <c r="D21" s="24"/>
      <c r="E21" s="33"/>
      <c r="F21" s="24"/>
      <c r="G21" s="24"/>
      <c r="H21" s="24"/>
      <c r="I21" s="58"/>
      <c r="K21" s="132">
        <f>H23-H13</f>
        <v>4544.909999999998</v>
      </c>
    </row>
    <row r="22" spans="1:9" ht="15">
      <c r="A22" s="213"/>
      <c r="B22" s="39"/>
      <c r="C22" s="39"/>
      <c r="D22" s="24"/>
      <c r="E22" s="33"/>
      <c r="F22" s="24"/>
      <c r="G22" s="24"/>
      <c r="H22" s="24"/>
      <c r="I22" s="58"/>
    </row>
    <row r="23" spans="1:9" ht="15">
      <c r="A23" s="413" t="s">
        <v>205</v>
      </c>
      <c r="B23" s="339"/>
      <c r="C23" s="339">
        <f>SUM(C8:C14)</f>
        <v>17544.44</v>
      </c>
      <c r="D23" s="339">
        <f>SUM(D8:D14)</f>
        <v>28278.59</v>
      </c>
      <c r="E23" s="340"/>
      <c r="F23" s="341"/>
      <c r="G23" s="341"/>
      <c r="H23" s="339">
        <f>C23</f>
        <v>17544.44</v>
      </c>
      <c r="I23" s="343">
        <f>D23</f>
        <v>28278.59</v>
      </c>
    </row>
    <row r="24" spans="1:9" ht="15" thickBot="1">
      <c r="A24" s="349"/>
      <c r="B24" s="350"/>
      <c r="C24" s="350"/>
      <c r="D24" s="350"/>
      <c r="E24" s="352"/>
      <c r="F24" s="488"/>
      <c r="G24" s="350"/>
      <c r="H24" s="350"/>
      <c r="I24" s="517"/>
    </row>
    <row r="25" spans="1:9" ht="15" thickBot="1">
      <c r="A25" s="349"/>
      <c r="B25" s="350"/>
      <c r="C25" s="350"/>
      <c r="D25" s="350"/>
      <c r="E25" s="352"/>
      <c r="F25" s="24"/>
      <c r="G25" s="24"/>
      <c r="H25" s="24"/>
      <c r="I25" s="216"/>
    </row>
    <row r="26" spans="1:9" ht="15" thickBot="1">
      <c r="A26" s="546" t="s">
        <v>412</v>
      </c>
      <c r="B26" s="811"/>
      <c r="C26" s="811"/>
      <c r="D26" s="812">
        <f>C23-D23</f>
        <v>-10734.150000000001</v>
      </c>
      <c r="E26" s="813"/>
      <c r="F26" s="814"/>
      <c r="G26" s="814"/>
      <c r="H26" s="814"/>
      <c r="I26" s="815"/>
    </row>
    <row r="27" spans="1:9" ht="15">
      <c r="A27" s="903"/>
      <c r="B27" s="904"/>
      <c r="C27" s="904"/>
      <c r="D27" s="904"/>
      <c r="E27" s="904"/>
      <c r="F27" s="904"/>
      <c r="G27" s="904"/>
      <c r="H27" s="904"/>
      <c r="I27" s="904"/>
    </row>
    <row r="28" spans="1:9" ht="13.5">
      <c r="A28" s="362"/>
      <c r="B28" s="363"/>
      <c r="C28" s="363"/>
      <c r="D28" s="363"/>
      <c r="E28" s="365"/>
      <c r="F28" s="317"/>
      <c r="G28" s="317"/>
      <c r="H28" s="317"/>
      <c r="I28" s="317"/>
    </row>
    <row r="31" spans="1:9" ht="15">
      <c r="A31" s="912" t="s">
        <v>516</v>
      </c>
      <c r="B31" s="913"/>
      <c r="C31" s="913"/>
      <c r="D31" s="913"/>
      <c r="E31" s="913"/>
      <c r="F31" s="913"/>
      <c r="G31" s="913"/>
      <c r="H31" s="913"/>
      <c r="I31" s="914"/>
    </row>
    <row r="32" spans="1:9" ht="13.5">
      <c r="A32" s="714" t="s">
        <v>175</v>
      </c>
      <c r="B32" s="363"/>
      <c r="C32" s="363"/>
      <c r="D32" s="363"/>
      <c r="E32" s="365"/>
      <c r="F32" s="317" t="s">
        <v>176</v>
      </c>
      <c r="G32" s="317"/>
      <c r="H32" s="317"/>
      <c r="I32" s="715"/>
    </row>
    <row r="33" spans="1:11" ht="12.75">
      <c r="A33" s="716"/>
      <c r="B33" s="24"/>
      <c r="C33">
        <v>2020</v>
      </c>
      <c r="D33" s="24">
        <v>2019</v>
      </c>
      <c r="E33" s="368"/>
      <c r="F33" s="24"/>
      <c r="G33" s="24"/>
      <c r="H33">
        <v>2020</v>
      </c>
      <c r="I33" s="24">
        <v>2019</v>
      </c>
      <c r="K33" s="24"/>
    </row>
    <row r="34" spans="1:9" ht="13.5">
      <c r="A34" s="718"/>
      <c r="B34" s="20"/>
      <c r="D34" s="24"/>
      <c r="E34" s="24"/>
      <c r="F34" s="39" t="s">
        <v>210</v>
      </c>
      <c r="G34" s="20" t="s">
        <v>110</v>
      </c>
      <c r="H34" s="132">
        <f>'31 dec 2020'!I14</f>
        <v>-0.02</v>
      </c>
      <c r="I34" s="214">
        <f>'31 dec 2019'!K16</f>
        <v>0</v>
      </c>
    </row>
    <row r="35" spans="1:9" ht="12.75">
      <c r="A35" s="720" t="s">
        <v>194</v>
      </c>
      <c r="B35" s="224" t="s">
        <v>110</v>
      </c>
      <c r="D35" s="214">
        <f>'31 dec 2019'!J16</f>
        <v>0.02</v>
      </c>
      <c r="E35" s="39"/>
      <c r="F35" s="656" t="s">
        <v>108</v>
      </c>
      <c r="G35" s="24" t="s">
        <v>109</v>
      </c>
      <c r="I35" s="214">
        <f>'31 dec 2019'!I17</f>
        <v>0</v>
      </c>
    </row>
    <row r="36" spans="1:11" ht="12.75">
      <c r="A36" s="720" t="s">
        <v>67</v>
      </c>
      <c r="B36" s="224" t="s">
        <v>112</v>
      </c>
      <c r="C36" s="150"/>
      <c r="D36" s="214">
        <f>'31 dec 2019'!J19</f>
        <v>459.42</v>
      </c>
      <c r="E36" s="39"/>
      <c r="F36" s="39" t="s">
        <v>211</v>
      </c>
      <c r="G36" s="39" t="s">
        <v>112</v>
      </c>
      <c r="H36" s="132">
        <f>'31 dec 2020'!I15</f>
        <v>-354.88</v>
      </c>
      <c r="I36" s="214">
        <f>'31 dec 2019'!I19</f>
        <v>-119.38000000000001</v>
      </c>
      <c r="K36">
        <v>39.1</v>
      </c>
    </row>
    <row r="37" spans="1:9" ht="12.75">
      <c r="A37" s="720"/>
      <c r="B37" s="224"/>
      <c r="C37" s="150"/>
      <c r="D37" s="214"/>
      <c r="E37" s="39"/>
      <c r="F37" s="39" t="str">
        <f>'project 2020'!B41</f>
        <v>Herinrichting Ruimte</v>
      </c>
      <c r="G37" s="224" t="s">
        <v>585</v>
      </c>
      <c r="H37" s="132">
        <f>'project 2020'!F45</f>
        <v>-31.44</v>
      </c>
      <c r="I37" s="214"/>
    </row>
    <row r="38" spans="1:11" ht="12.75">
      <c r="A38" s="721" t="s">
        <v>83</v>
      </c>
      <c r="B38" s="150" t="s">
        <v>115</v>
      </c>
      <c r="C38" s="587">
        <f>'project 2020'!F97</f>
        <v>39.1</v>
      </c>
      <c r="D38" s="214">
        <f>'31 dec 2019'!J22</f>
        <v>21510.65</v>
      </c>
      <c r="E38" s="39"/>
      <c r="F38" s="39" t="s">
        <v>83</v>
      </c>
      <c r="G38" s="150" t="s">
        <v>115</v>
      </c>
      <c r="H38" s="132">
        <f>'31 dec 2020'!I16</f>
        <v>-10902.73</v>
      </c>
      <c r="I38" s="214">
        <f>'31 dec 2019'!I22</f>
        <v>-2711.1600000000003</v>
      </c>
      <c r="K38">
        <v>0</v>
      </c>
    </row>
    <row r="39" spans="1:11" ht="12.75">
      <c r="A39" s="720" t="s">
        <v>88</v>
      </c>
      <c r="B39" s="150" t="s">
        <v>116</v>
      </c>
      <c r="C39" s="252">
        <f>'project 2020'!F119</f>
        <v>0</v>
      </c>
      <c r="D39" s="214">
        <f>'31 dec 2019'!J23</f>
        <v>2250</v>
      </c>
      <c r="E39" s="39"/>
      <c r="F39" s="322" t="s">
        <v>153</v>
      </c>
      <c r="G39" s="220" t="s">
        <v>116</v>
      </c>
      <c r="H39" s="132">
        <f>'31 dec 2020'!I17</f>
        <v>0</v>
      </c>
      <c r="I39" s="214">
        <f>'31 dec 2019'!I23</f>
        <v>-2500</v>
      </c>
      <c r="K39">
        <v>0</v>
      </c>
    </row>
    <row r="40" spans="1:11" ht="12.75">
      <c r="A40" s="720"/>
      <c r="B40" s="150"/>
      <c r="C40" s="235"/>
      <c r="D40" s="214"/>
      <c r="E40" s="39"/>
      <c r="F40" s="322" t="s">
        <v>583</v>
      </c>
      <c r="G40" s="220" t="s">
        <v>582</v>
      </c>
      <c r="H40" s="132">
        <f>'31 dec 2020'!I18</f>
        <v>-48.66</v>
      </c>
      <c r="I40" s="214"/>
      <c r="K40">
        <v>248.85</v>
      </c>
    </row>
    <row r="41" spans="1:11" ht="12.75">
      <c r="A41" s="722" t="s">
        <v>89</v>
      </c>
      <c r="B41" s="220" t="s">
        <v>119</v>
      </c>
      <c r="C41" s="252"/>
      <c r="D41" s="214">
        <f>'31 dec 2019'!J26</f>
        <v>5000</v>
      </c>
      <c r="E41" s="39"/>
      <c r="F41" s="24" t="s">
        <v>122</v>
      </c>
      <c r="G41" s="24" t="s">
        <v>119</v>
      </c>
      <c r="I41" s="214">
        <f>'31 dec 2019'!I26</f>
        <v>-1369.42</v>
      </c>
      <c r="K41">
        <v>279.59</v>
      </c>
    </row>
    <row r="42" spans="1:11" ht="12.75">
      <c r="A42" s="722" t="s">
        <v>226</v>
      </c>
      <c r="B42" s="220" t="s">
        <v>141</v>
      </c>
      <c r="C42" s="252">
        <f>'project 2020'!F168</f>
        <v>248.85</v>
      </c>
      <c r="D42" s="214">
        <f>'31 dec 2019'!J27</f>
        <v>1100</v>
      </c>
      <c r="E42" s="331"/>
      <c r="F42" s="24" t="str">
        <f>'31 dec 2019'!E28</f>
        <v>Izettle</v>
      </c>
      <c r="G42" s="39" t="s">
        <v>520</v>
      </c>
      <c r="H42" s="132">
        <f>'31 dec 2020'!I20</f>
        <v>-280.09</v>
      </c>
      <c r="I42" s="214">
        <f>'31 dec 2019'!I28</f>
        <v>-279.06</v>
      </c>
      <c r="K42">
        <v>-280.09</v>
      </c>
    </row>
    <row r="43" spans="1:9" ht="12.75">
      <c r="A43" s="722" t="s">
        <v>518</v>
      </c>
      <c r="B43" s="220" t="s">
        <v>519</v>
      </c>
      <c r="C43" s="235">
        <f>'project 2020'!F190</f>
        <v>279.59</v>
      </c>
      <c r="D43" s="508">
        <f>'31 dec 2019'!J28</f>
        <v>279.06</v>
      </c>
      <c r="E43" s="331"/>
      <c r="F43" s="24"/>
      <c r="G43" s="24"/>
      <c r="I43" s="717"/>
    </row>
    <row r="44" spans="1:9" ht="12.75">
      <c r="A44" s="724"/>
      <c r="B44" s="224"/>
      <c r="D44" s="224"/>
      <c r="E44" s="331"/>
      <c r="F44" s="24"/>
      <c r="G44" s="24"/>
      <c r="H44" s="24"/>
      <c r="I44" s="717"/>
    </row>
    <row r="45" spans="1:9" ht="12.75">
      <c r="A45" s="828" t="s">
        <v>586</v>
      </c>
      <c r="B45" s="829"/>
      <c r="C45" s="830">
        <f>'project 2020'!F211-'project 2020'!F200</f>
        <v>316.13</v>
      </c>
      <c r="D45" s="224"/>
      <c r="E45" s="331"/>
      <c r="F45" s="24"/>
      <c r="G45" s="24"/>
      <c r="H45" s="214"/>
      <c r="I45" s="719"/>
    </row>
    <row r="46" spans="1:11" ht="12.75">
      <c r="A46" s="725"/>
      <c r="B46" s="726"/>
      <c r="D46" s="726"/>
      <c r="E46" s="338"/>
      <c r="F46" s="335"/>
      <c r="G46" s="335"/>
      <c r="H46" s="335"/>
      <c r="I46" s="727"/>
      <c r="K46" s="335"/>
    </row>
    <row r="47" spans="1:11" ht="15">
      <c r="A47" s="732" t="s">
        <v>219</v>
      </c>
      <c r="B47" s="733"/>
      <c r="C47" s="734">
        <f>SUM(C35:C46)</f>
        <v>883.67</v>
      </c>
      <c r="D47" s="734">
        <f>SUM(D35:D44)</f>
        <v>30599.15</v>
      </c>
      <c r="E47" s="735"/>
      <c r="F47" s="733" t="s">
        <v>218</v>
      </c>
      <c r="G47" s="733"/>
      <c r="H47" s="736">
        <f>SUM(H34:H45)</f>
        <v>-11617.82</v>
      </c>
      <c r="I47" s="737">
        <f>SUM(I34:I45)</f>
        <v>-6979.020000000001</v>
      </c>
      <c r="K47" s="736"/>
    </row>
    <row r="48" spans="1:9" ht="15">
      <c r="A48" s="716"/>
      <c r="B48" s="24"/>
      <c r="C48" s="24"/>
      <c r="D48" s="24"/>
      <c r="E48" s="331"/>
      <c r="F48" s="391" t="s">
        <v>584</v>
      </c>
      <c r="G48" s="391"/>
      <c r="H48" s="392">
        <f>C47+H47</f>
        <v>-10734.15</v>
      </c>
      <c r="I48" s="723"/>
    </row>
    <row r="49" spans="1:11" ht="13.5">
      <c r="A49" s="720"/>
      <c r="B49" s="24"/>
      <c r="C49" s="214"/>
      <c r="D49" s="24"/>
      <c r="E49" s="331"/>
      <c r="F49" s="712" t="s">
        <v>521</v>
      </c>
      <c r="G49" s="712"/>
      <c r="H49" s="713"/>
      <c r="I49" s="728">
        <f>D47+I47</f>
        <v>23620.13</v>
      </c>
      <c r="K49" s="132"/>
    </row>
    <row r="50" spans="1:9" ht="12.75">
      <c r="A50" s="729"/>
      <c r="B50" s="730"/>
      <c r="C50" s="730"/>
      <c r="D50" s="336"/>
      <c r="E50" s="338"/>
      <c r="F50" s="730"/>
      <c r="G50" s="730"/>
      <c r="H50" s="730"/>
      <c r="I50" s="731"/>
    </row>
    <row r="51" spans="1:13" ht="13.5">
      <c r="A51" s="49"/>
      <c r="B51" s="20"/>
      <c r="C51" s="20"/>
      <c r="D51" s="20"/>
      <c r="E51" s="365"/>
      <c r="F51" s="24"/>
      <c r="G51" s="24"/>
      <c r="H51" s="24"/>
      <c r="I51" s="58"/>
      <c r="K51" s="132">
        <f>D23</f>
        <v>28278.59</v>
      </c>
      <c r="M51">
        <v>1020.46</v>
      </c>
    </row>
    <row r="52" spans="1:13" ht="15">
      <c r="A52" s="906" t="s">
        <v>200</v>
      </c>
      <c r="B52" s="907"/>
      <c r="C52" s="907"/>
      <c r="D52" s="907"/>
      <c r="E52" s="907"/>
      <c r="F52" s="907"/>
      <c r="G52" s="907"/>
      <c r="H52" s="907"/>
      <c r="I52" s="908"/>
      <c r="K52" s="490">
        <f>H47</f>
        <v>-11617.82</v>
      </c>
      <c r="M52">
        <v>704.33</v>
      </c>
    </row>
    <row r="53" spans="1:11" ht="13.5">
      <c r="A53" s="380"/>
      <c r="B53" s="381"/>
      <c r="C53" s="381"/>
      <c r="D53" s="381"/>
      <c r="E53" s="365"/>
      <c r="F53" s="24"/>
      <c r="G53" s="24"/>
      <c r="H53" s="24"/>
      <c r="I53" s="58"/>
      <c r="K53" s="132">
        <f>C47</f>
        <v>883.67</v>
      </c>
    </row>
    <row r="54" spans="1:9" ht="12.75">
      <c r="A54" s="909" t="s">
        <v>201</v>
      </c>
      <c r="B54" s="910"/>
      <c r="C54" s="910"/>
      <c r="D54" s="910"/>
      <c r="E54" s="910"/>
      <c r="F54" s="910"/>
      <c r="G54" s="910"/>
      <c r="H54" s="910"/>
      <c r="I54" s="911"/>
    </row>
    <row r="55" spans="1:11" ht="14.25" thickBot="1">
      <c r="A55" s="382"/>
      <c r="B55" s="383"/>
      <c r="C55" s="383"/>
      <c r="D55" s="383"/>
      <c r="E55" s="385"/>
      <c r="F55" s="351"/>
      <c r="G55" s="351"/>
      <c r="H55" s="351"/>
      <c r="I55" s="386"/>
      <c r="K55" s="132">
        <f>SUM(K51:K54)</f>
        <v>17544.44</v>
      </c>
    </row>
    <row r="56" ht="12.75">
      <c r="K56" s="132">
        <f>C23</f>
        <v>17544.44</v>
      </c>
    </row>
    <row r="57" spans="11:13" ht="12.75">
      <c r="K57" s="132">
        <f>K56-K55</f>
        <v>0</v>
      </c>
      <c r="M57">
        <f>M51-M52</f>
        <v>316.13</v>
      </c>
    </row>
    <row r="58" spans="6:13" ht="12.75">
      <c r="F58" s="132">
        <f>H58-H48</f>
        <v>0</v>
      </c>
      <c r="H58" s="132">
        <f>C23-D23</f>
        <v>-10734.150000000001</v>
      </c>
      <c r="M58" s="132">
        <f>K57-M57</f>
        <v>-316.13</v>
      </c>
    </row>
  </sheetData>
  <sheetProtection/>
  <mergeCells count="5">
    <mergeCell ref="A4:I4"/>
    <mergeCell ref="A27:I27"/>
    <mergeCell ref="A31:I31"/>
    <mergeCell ref="A52:I52"/>
    <mergeCell ref="A54:I5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8">
      <selection activeCell="C31" sqref="C31"/>
    </sheetView>
  </sheetViews>
  <sheetFormatPr defaultColWidth="9.140625" defaultRowHeight="12.75"/>
  <cols>
    <col min="1" max="1" width="13.7109375" style="0" customWidth="1"/>
    <col min="2" max="2" width="43.421875" style="0" customWidth="1"/>
    <col min="3" max="3" width="14.7109375" style="0" customWidth="1"/>
    <col min="4" max="4" width="1.7109375" style="0" customWidth="1"/>
    <col min="5" max="5" width="35.00390625" style="0" customWidth="1"/>
    <col min="6" max="6" width="4.140625" style="0" customWidth="1"/>
    <col min="7" max="7" width="14.7109375" style="0" customWidth="1"/>
    <col min="8" max="8" width="15.421875" style="0" customWidth="1"/>
    <col min="9" max="9" width="16.7109375" style="0" customWidth="1"/>
    <col min="10" max="10" width="14.57421875" style="0" customWidth="1"/>
    <col min="11" max="11" width="18.28125" style="0" customWidth="1"/>
    <col min="12" max="12" width="26.8515625" style="0" customWidth="1"/>
    <col min="13" max="13" width="28.00390625" style="0" customWidth="1"/>
  </cols>
  <sheetData>
    <row r="1" ht="30">
      <c r="B1" s="254" t="s">
        <v>142</v>
      </c>
    </row>
    <row r="4" spans="2:3" ht="21">
      <c r="B4" s="171" t="s">
        <v>158</v>
      </c>
      <c r="C4" s="287">
        <v>44196</v>
      </c>
    </row>
    <row r="5" ht="12.75">
      <c r="E5" s="132"/>
    </row>
    <row r="6" spans="2:11" ht="12.75">
      <c r="B6">
        <v>4534.96</v>
      </c>
      <c r="K6" s="132"/>
    </row>
    <row r="7" spans="1:12" ht="12.75">
      <c r="A7" s="132"/>
      <c r="B7" s="132">
        <f>B6-C14</f>
        <v>-9.949999999999818</v>
      </c>
      <c r="I7" s="132"/>
      <c r="K7" s="132" t="s">
        <v>267</v>
      </c>
      <c r="L7" s="132"/>
    </row>
    <row r="8" spans="2:3" ht="13.5" thickBot="1">
      <c r="B8" s="414"/>
      <c r="C8" s="415"/>
    </row>
    <row r="9" spans="1:13" ht="12.75">
      <c r="A9" s="132"/>
      <c r="B9" s="210"/>
      <c r="C9" s="211"/>
      <c r="D9" s="37"/>
      <c r="E9" s="210"/>
      <c r="F9" s="37"/>
      <c r="G9" s="37" t="s">
        <v>159</v>
      </c>
      <c r="H9" s="211" t="s">
        <v>159</v>
      </c>
      <c r="I9" s="269" t="s">
        <v>161</v>
      </c>
      <c r="J9" s="269" t="s">
        <v>161</v>
      </c>
      <c r="K9" s="269">
        <v>-5175.31</v>
      </c>
      <c r="L9" s="37"/>
      <c r="M9" s="211"/>
    </row>
    <row r="10" spans="1:13" ht="12.75">
      <c r="A10" s="132">
        <f>A14-C14</f>
        <v>9.094947017729282E-12</v>
      </c>
      <c r="B10" s="26"/>
      <c r="C10" s="58"/>
      <c r="D10" s="24"/>
      <c r="E10" s="26"/>
      <c r="F10" s="24"/>
      <c r="G10" s="460">
        <f>C4</f>
        <v>44196</v>
      </c>
      <c r="H10" s="461">
        <f>C4</f>
        <v>44196</v>
      </c>
      <c r="I10" s="777">
        <f>C4</f>
        <v>44196</v>
      </c>
      <c r="J10" s="783">
        <f>C4</f>
        <v>44196</v>
      </c>
      <c r="K10" s="270">
        <v>43830</v>
      </c>
      <c r="L10" s="24"/>
      <c r="M10" s="212"/>
    </row>
    <row r="11" spans="1:13" ht="13.5" thickBot="1">
      <c r="A11" s="121"/>
      <c r="B11" s="219" t="s">
        <v>162</v>
      </c>
      <c r="C11" s="58"/>
      <c r="D11" s="24"/>
      <c r="E11" s="219" t="s">
        <v>99</v>
      </c>
      <c r="F11" s="39"/>
      <c r="G11" s="224" t="s">
        <v>102</v>
      </c>
      <c r="H11" s="771" t="s">
        <v>160</v>
      </c>
      <c r="I11" s="778" t="s">
        <v>101</v>
      </c>
      <c r="J11" s="784" t="s">
        <v>100</v>
      </c>
      <c r="K11" s="768" t="s">
        <v>84</v>
      </c>
      <c r="L11" s="224"/>
      <c r="M11" s="463"/>
    </row>
    <row r="12" spans="1:13" ht="12.75">
      <c r="A12" s="595" t="s">
        <v>383</v>
      </c>
      <c r="B12" s="286">
        <f>C4</f>
        <v>44196</v>
      </c>
      <c r="C12" s="58"/>
      <c r="D12" s="24"/>
      <c r="E12" s="682">
        <f>C4</f>
        <v>44196</v>
      </c>
      <c r="F12" s="150"/>
      <c r="G12" s="150"/>
      <c r="H12" s="772"/>
      <c r="I12" s="779"/>
      <c r="J12" s="785"/>
      <c r="K12" s="769"/>
      <c r="L12" s="224"/>
      <c r="M12" s="463"/>
    </row>
    <row r="13" spans="1:13" ht="12.75">
      <c r="A13" s="592">
        <f>'project 2020'!F11</f>
        <v>0</v>
      </c>
      <c r="B13" s="26" t="s">
        <v>264</v>
      </c>
      <c r="C13" s="704">
        <v>0</v>
      </c>
      <c r="D13" s="24"/>
      <c r="E13" s="683"/>
      <c r="F13" s="401"/>
      <c r="G13" s="235"/>
      <c r="H13" s="773">
        <f aca="true" t="shared" si="0" ref="H13:H19">J13+K13+I13</f>
        <v>0</v>
      </c>
      <c r="I13" s="780">
        <f>'project 2019'!F7</f>
        <v>0</v>
      </c>
      <c r="J13" s="786">
        <f>'project 2019'!F11</f>
        <v>0</v>
      </c>
      <c r="K13" s="273">
        <f>'project 2019'!F4</f>
        <v>0</v>
      </c>
      <c r="L13" s="252"/>
      <c r="M13" s="265"/>
    </row>
    <row r="14" spans="1:13" ht="12.75">
      <c r="A14" s="593">
        <f>'project 2020'!F36+'project 2020'!F120+'project 2020'!F169+'project 2020'!F211+'project 2020'!F196</f>
        <v>4544.910000000009</v>
      </c>
      <c r="B14" s="26" t="s">
        <v>266</v>
      </c>
      <c r="C14" s="704">
        <f>4534.96+9.95</f>
        <v>4544.91</v>
      </c>
      <c r="D14" s="24"/>
      <c r="E14" s="802" t="str">
        <f>'jaarekening 2019  begr 2020'!F10</f>
        <v>*Tuinwerkgroep</v>
      </c>
      <c r="F14" s="803">
        <f>'jaarekening 2016 begr 2017'!R7</f>
        <v>1</v>
      </c>
      <c r="G14" s="826" t="s">
        <v>570</v>
      </c>
      <c r="H14" s="804">
        <f t="shared" si="0"/>
        <v>0</v>
      </c>
      <c r="I14" s="805">
        <f>'project 2020'!F9</f>
        <v>-0.02</v>
      </c>
      <c r="J14" s="806"/>
      <c r="K14" s="807">
        <f>'project 2020'!F7</f>
        <v>0.02</v>
      </c>
      <c r="L14" s="252"/>
      <c r="M14" s="463"/>
    </row>
    <row r="15" spans="1:13" ht="15">
      <c r="A15" s="593"/>
      <c r="B15" s="697"/>
      <c r="C15" s="58"/>
      <c r="D15" s="24"/>
      <c r="E15" s="588" t="str">
        <f>'jaarekening 2019  begr 2020'!F11</f>
        <v>*Reservering diversen</v>
      </c>
      <c r="F15" s="401">
        <f>'jaarekening 2016 begr 2017'!R10</f>
        <v>4</v>
      </c>
      <c r="G15" s="214"/>
      <c r="H15" s="773">
        <f t="shared" si="0"/>
        <v>0.10000000000002274</v>
      </c>
      <c r="I15" s="780">
        <f>'project 2020'!F33</f>
        <v>-354.88</v>
      </c>
      <c r="J15" s="786">
        <f>'project 2020'!F35</f>
        <v>0</v>
      </c>
      <c r="K15" s="273">
        <f>'project 2020'!F18</f>
        <v>354.98</v>
      </c>
      <c r="L15" s="252"/>
      <c r="M15" s="463"/>
    </row>
    <row r="16" spans="1:13" ht="15">
      <c r="A16" s="592"/>
      <c r="B16" s="697"/>
      <c r="C16" s="216"/>
      <c r="D16" s="24"/>
      <c r="E16" s="799" t="str">
        <f>'jaarekening 2019  begr 2020'!F13</f>
        <v>*Te besteden 50 dingen boekje</v>
      </c>
      <c r="F16" s="808">
        <f>'jaarekening 2016 begr 2017'!R13</f>
        <v>7</v>
      </c>
      <c r="G16" s="587"/>
      <c r="H16" s="774">
        <f t="shared" si="0"/>
        <v>12999.529999999999</v>
      </c>
      <c r="I16" s="800">
        <f>'project 2020'!F91</f>
        <v>-10902.73</v>
      </c>
      <c r="J16" s="801">
        <f>'project 2020'!F97</f>
        <v>39.1</v>
      </c>
      <c r="K16" s="789">
        <f>'project 2020'!F79</f>
        <v>23863.16</v>
      </c>
      <c r="L16" s="252"/>
      <c r="M16" s="121"/>
    </row>
    <row r="17" spans="1:13" ht="12.75">
      <c r="A17" s="592"/>
      <c r="B17" s="412"/>
      <c r="C17" s="58"/>
      <c r="D17" s="24"/>
      <c r="E17" s="588" t="str">
        <f>'jaarekening 2019  begr 2020'!F14</f>
        <v>*Basisonderwijs/st. Ronde Venen fonds</v>
      </c>
      <c r="F17" s="401">
        <f>'jaarekening 2016 begr 2017'!R14</f>
        <v>8</v>
      </c>
      <c r="G17" s="214"/>
      <c r="H17" s="798">
        <f t="shared" si="0"/>
        <v>1250</v>
      </c>
      <c r="I17" s="780">
        <f>'project 2020'!F115</f>
        <v>0</v>
      </c>
      <c r="J17" s="787">
        <f>'project 2020'!F119</f>
        <v>0</v>
      </c>
      <c r="K17" s="273">
        <f>'project 2020'!F111</f>
        <v>1250</v>
      </c>
      <c r="L17" s="252"/>
      <c r="M17" s="463"/>
    </row>
    <row r="18" spans="1:13" ht="12.75">
      <c r="A18" s="592"/>
      <c r="B18" s="456"/>
      <c r="C18" s="265"/>
      <c r="D18" s="24"/>
      <c r="E18" s="588" t="str">
        <f>'jaarekening 2019  begr 2020'!F15</f>
        <v>*Stichting Doen/Oranjefonds</v>
      </c>
      <c r="F18" s="401">
        <v>9</v>
      </c>
      <c r="G18" s="826" t="s">
        <v>570</v>
      </c>
      <c r="H18" s="798">
        <f t="shared" si="0"/>
        <v>0</v>
      </c>
      <c r="I18" s="780">
        <f>'project 2020'!F134</f>
        <v>-48.66</v>
      </c>
      <c r="J18" s="786">
        <f>'project 2020'!F135</f>
        <v>0</v>
      </c>
      <c r="K18" s="273">
        <f>'project 2020'!F131</f>
        <v>48.66</v>
      </c>
      <c r="L18" s="252"/>
      <c r="M18" s="265"/>
    </row>
    <row r="19" spans="1:13" ht="13.5" thickBot="1">
      <c r="A19" s="594">
        <f>'project 2020'!F98</f>
        <v>12999.53</v>
      </c>
      <c r="B19" s="688" t="s">
        <v>265</v>
      </c>
      <c r="C19" s="704">
        <f>13001.05-1.52</f>
        <v>12999.529999999999</v>
      </c>
      <c r="D19" s="24"/>
      <c r="E19" s="588" t="str">
        <f>'jaarekening 2019  begr 2020'!F17</f>
        <v>*Ontwikkeling NME (1)</v>
      </c>
      <c r="F19" s="401">
        <v>12</v>
      </c>
      <c r="G19" s="235"/>
      <c r="H19" s="798">
        <f t="shared" si="0"/>
        <v>2274.85</v>
      </c>
      <c r="I19" s="780">
        <f>'project 2020'!F165</f>
        <v>0</v>
      </c>
      <c r="J19" s="787">
        <f>'project 2020'!F168</f>
        <v>248.85</v>
      </c>
      <c r="K19" s="273">
        <f>'project 2020'!F162</f>
        <v>2026</v>
      </c>
      <c r="L19" s="252"/>
      <c r="M19" s="463"/>
    </row>
    <row r="20" spans="1:13" ht="15.75" thickBot="1">
      <c r="A20" s="594">
        <f>SUM(A13:A19)</f>
        <v>17544.44000000001</v>
      </c>
      <c r="B20" s="697">
        <f>A19-C19</f>
        <v>0</v>
      </c>
      <c r="C20" s="265"/>
      <c r="D20" s="24"/>
      <c r="E20" s="588" t="str">
        <f>'jaarekening 2019  begr 2020'!F18</f>
        <v>Izettle</v>
      </c>
      <c r="F20" s="220">
        <v>13</v>
      </c>
      <c r="G20" s="235"/>
      <c r="H20" s="798">
        <f>I20+J20</f>
        <v>-0.5</v>
      </c>
      <c r="I20" s="780">
        <f>'project 2020'!F195</f>
        <v>-280.09</v>
      </c>
      <c r="J20" s="787">
        <f>'project 2020'!F190</f>
        <v>279.59</v>
      </c>
      <c r="K20" s="789">
        <f>'project 2020'!F184</f>
        <v>0</v>
      </c>
      <c r="L20" s="252"/>
      <c r="M20" s="463"/>
    </row>
    <row r="21" spans="1:13" ht="15">
      <c r="A21" s="587"/>
      <c r="B21" s="684"/>
      <c r="C21" s="216"/>
      <c r="D21" s="24"/>
      <c r="E21" s="588"/>
      <c r="F21" s="401"/>
      <c r="G21" s="214"/>
      <c r="H21" s="773"/>
      <c r="I21" s="781"/>
      <c r="J21" s="786"/>
      <c r="K21" s="273"/>
      <c r="L21" s="252"/>
      <c r="M21" s="463"/>
    </row>
    <row r="22" spans="1:13" ht="12.75">
      <c r="A22" s="586"/>
      <c r="B22" s="412"/>
      <c r="C22" s="216"/>
      <c r="D22" s="24"/>
      <c r="E22" s="26"/>
      <c r="F22" s="24"/>
      <c r="G22" s="24"/>
      <c r="H22" s="772"/>
      <c r="I22" s="779"/>
      <c r="J22" s="785"/>
      <c r="K22" s="769"/>
      <c r="L22" s="252"/>
      <c r="M22" s="463"/>
    </row>
    <row r="23" spans="1:13" ht="12.75">
      <c r="A23" s="587"/>
      <c r="B23" s="412"/>
      <c r="C23" s="216"/>
      <c r="D23" s="24"/>
      <c r="E23" s="26"/>
      <c r="F23" s="24"/>
      <c r="G23" s="24"/>
      <c r="H23" s="772"/>
      <c r="I23" s="779"/>
      <c r="J23" s="785"/>
      <c r="K23" s="769"/>
      <c r="L23" s="252"/>
      <c r="M23" s="463"/>
    </row>
    <row r="24" spans="1:13" ht="12.75">
      <c r="A24" s="586"/>
      <c r="B24" s="412"/>
      <c r="C24" s="216"/>
      <c r="D24" s="24"/>
      <c r="E24" s="26"/>
      <c r="F24" s="24"/>
      <c r="G24" s="24"/>
      <c r="H24" s="772"/>
      <c r="I24" s="779"/>
      <c r="J24" s="785"/>
      <c r="K24" s="769"/>
      <c r="L24" s="252"/>
      <c r="M24" s="463"/>
    </row>
    <row r="25" spans="1:13" ht="12.75">
      <c r="A25" s="587"/>
      <c r="B25" s="26"/>
      <c r="C25" s="216"/>
      <c r="D25" s="24"/>
      <c r="E25" s="26"/>
      <c r="F25" s="24"/>
      <c r="G25" s="24"/>
      <c r="H25" s="772"/>
      <c r="I25" s="779"/>
      <c r="J25" s="785"/>
      <c r="K25" s="769"/>
      <c r="L25" s="235"/>
      <c r="M25" s="265"/>
    </row>
    <row r="26" spans="1:13" ht="13.5" thickBot="1">
      <c r="A26" s="685">
        <f>A20-C27</f>
        <v>0</v>
      </c>
      <c r="B26" s="585"/>
      <c r="C26" s="218"/>
      <c r="D26" s="24"/>
      <c r="E26" s="590" t="s">
        <v>552</v>
      </c>
      <c r="F26" s="99" t="s">
        <v>243</v>
      </c>
      <c r="G26" s="591">
        <f>'project 2020'!F211</f>
        <v>1020.460000000009</v>
      </c>
      <c r="H26" s="775"/>
      <c r="I26" s="780">
        <f>'project 2020'!F207</f>
        <v>315.63</v>
      </c>
      <c r="J26" s="786"/>
      <c r="K26" s="790">
        <f>'project 2020'!F199</f>
        <v>704.3300000000072</v>
      </c>
      <c r="L26" s="215" t="s">
        <v>538</v>
      </c>
      <c r="M26" s="58"/>
    </row>
    <row r="27" spans="2:13" ht="15.75" thickBot="1">
      <c r="B27" s="206" t="s">
        <v>319</v>
      </c>
      <c r="C27" s="458">
        <f>SUM(C12:C26)</f>
        <v>17544.44</v>
      </c>
      <c r="D27" s="208"/>
      <c r="E27" s="206" t="s">
        <v>79</v>
      </c>
      <c r="F27" s="208"/>
      <c r="G27" s="207">
        <f>G26</f>
        <v>1020.460000000009</v>
      </c>
      <c r="H27" s="776">
        <f>SUM(H12:H26)</f>
        <v>16523.98</v>
      </c>
      <c r="I27" s="782">
        <f>SUM(I13:I26)</f>
        <v>-11270.75</v>
      </c>
      <c r="J27" s="788">
        <f>SUM(J13:J26)</f>
        <v>567.54</v>
      </c>
      <c r="K27" s="770">
        <f>SUM(K12:K26)</f>
        <v>28247.15000000001</v>
      </c>
      <c r="L27" s="217"/>
      <c r="M27" s="218"/>
    </row>
    <row r="28" spans="1:13" ht="13.5" thickBot="1">
      <c r="A28" s="132"/>
      <c r="B28" s="546"/>
      <c r="C28" s="547"/>
      <c r="E28" s="132"/>
      <c r="G28" s="236"/>
      <c r="H28" s="132"/>
      <c r="I28" s="581"/>
      <c r="J28" s="581"/>
      <c r="K28" s="132"/>
      <c r="L28" s="132"/>
      <c r="M28" s="132"/>
    </row>
    <row r="29" spans="2:13" ht="17.25">
      <c r="B29" s="482" t="s">
        <v>285</v>
      </c>
      <c r="C29" s="483">
        <f>H27</f>
        <v>16523.98</v>
      </c>
      <c r="D29" s="121"/>
      <c r="E29" s="133"/>
      <c r="F29" s="256"/>
      <c r="G29" s="690"/>
      <c r="H29" s="690"/>
      <c r="I29" s="685">
        <f>I27-I26</f>
        <v>-11586.38</v>
      </c>
      <c r="J29" s="133"/>
      <c r="K29" s="695"/>
      <c r="L29" s="583"/>
      <c r="M29" s="121"/>
    </row>
    <row r="30" spans="1:13" ht="12.75">
      <c r="A30" s="132">
        <f>A14-C14</f>
        <v>9.094947017729282E-12</v>
      </c>
      <c r="B30" s="484"/>
      <c r="C30" s="457"/>
      <c r="D30" s="121"/>
      <c r="E30" s="133"/>
      <c r="F30" s="121"/>
      <c r="G30" s="282"/>
      <c r="H30" s="282"/>
      <c r="I30" s="133"/>
      <c r="J30" s="133"/>
      <c r="K30" s="480"/>
      <c r="L30" s="133"/>
      <c r="M30" s="121" t="s">
        <v>443</v>
      </c>
    </row>
    <row r="31" spans="1:13" ht="12.75">
      <c r="A31" s="132"/>
      <c r="B31" s="485" t="s">
        <v>552</v>
      </c>
      <c r="C31" s="457">
        <f>G26</f>
        <v>1020.460000000009</v>
      </c>
      <c r="D31" s="121"/>
      <c r="E31" s="133"/>
      <c r="F31" s="121"/>
      <c r="G31" s="133"/>
      <c r="H31" s="282"/>
      <c r="J31" s="133"/>
      <c r="L31" s="133"/>
      <c r="M31" s="121" t="s">
        <v>444</v>
      </c>
    </row>
    <row r="32" spans="2:13" ht="13.5" thickBot="1">
      <c r="B32" s="188"/>
      <c r="C32" s="457"/>
      <c r="D32" s="121"/>
      <c r="E32" s="133"/>
      <c r="F32" s="121"/>
      <c r="G32" s="133"/>
      <c r="H32" s="282"/>
      <c r="I32" s="133"/>
      <c r="J32" s="133"/>
      <c r="K32" s="235"/>
      <c r="L32" s="121"/>
      <c r="M32" s="121" t="s">
        <v>446</v>
      </c>
    </row>
    <row r="33" spans="1:11" ht="13.5" thickBot="1">
      <c r="A33" s="132"/>
      <c r="B33" s="521" t="s">
        <v>98</v>
      </c>
      <c r="C33" s="522">
        <f>C29+C31</f>
        <v>17544.44000000001</v>
      </c>
      <c r="E33" s="133"/>
      <c r="G33" s="133"/>
      <c r="H33" s="133"/>
      <c r="I33" s="133"/>
      <c r="J33" s="133"/>
      <c r="K33" s="478"/>
    </row>
    <row r="34" spans="2:13" ht="12.75">
      <c r="B34" s="150"/>
      <c r="C34" s="150"/>
      <c r="E34" s="133"/>
      <c r="G34" s="121"/>
      <c r="H34" s="133"/>
      <c r="I34" s="133"/>
      <c r="J34" s="133"/>
      <c r="M34" t="s">
        <v>442</v>
      </c>
    </row>
    <row r="35" spans="2:10" ht="12.75">
      <c r="B35" s="150"/>
      <c r="C35" s="235"/>
      <c r="E35" s="133"/>
      <c r="I35" s="133"/>
      <c r="J35" s="133"/>
    </row>
    <row r="36" spans="5:11" ht="17.25">
      <c r="E36" s="133"/>
      <c r="G36" s="132"/>
      <c r="H36" s="132"/>
      <c r="I36" s="133"/>
      <c r="J36" s="133"/>
      <c r="K36" s="479"/>
    </row>
    <row r="37" spans="5:10" ht="12.75">
      <c r="E37" s="133"/>
      <c r="I37" s="133"/>
      <c r="J37" s="133"/>
    </row>
    <row r="38" spans="5:11" ht="12.75">
      <c r="E38" s="133"/>
      <c r="I38" s="133"/>
      <c r="K38" s="132"/>
    </row>
    <row r="39" spans="5:9" ht="12.75">
      <c r="E39" s="133"/>
      <c r="I39" s="133"/>
    </row>
    <row r="40" spans="8:9" ht="12.75">
      <c r="H40" s="132"/>
      <c r="I40" s="133"/>
    </row>
    <row r="42" ht="12.75">
      <c r="I42" s="132"/>
    </row>
    <row r="43" ht="12.75">
      <c r="I43" s="13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Anneke Wortel</dc:creator>
  <cp:keywords>xlxs</cp:keywords>
  <dc:description/>
  <cp:lastModifiedBy>Marlou Bours</cp:lastModifiedBy>
  <cp:lastPrinted>2023-01-12T13:40:20Z</cp:lastPrinted>
  <dcterms:created xsi:type="dcterms:W3CDTF">2005-07-18T07:32:59Z</dcterms:created>
  <dcterms:modified xsi:type="dcterms:W3CDTF">2023-03-06T08:39:31Z</dcterms:modified>
  <cp:category/>
  <cp:version/>
  <cp:contentType/>
  <cp:contentStatus/>
</cp:coreProperties>
</file>