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odru.lan\DFS\Teams\Natuur- en DuurzaamheidsCommunicatie\Bedrijfsvoering\Beheer\Woudreus\svv\2025\"/>
    </mc:Choice>
  </mc:AlternateContent>
  <xr:revisionPtr revIDLastSave="0" documentId="13_ncr:1_{6440648F-1BE0-406E-A311-763BBE26B578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31 dec 2024" sheetId="27" r:id="rId1"/>
    <sheet name="jaarrek 2024" sheetId="28" r:id="rId2"/>
    <sheet name="proj 2024 jr" sheetId="29" r:id="rId3"/>
    <sheet name="pr 2024 uitgbr" sheetId="26" r:id="rId4"/>
    <sheet name="jaarek 2023" sheetId="24" r:id="rId5"/>
    <sheet name="31 dec 2023" sheetId="22" r:id="rId6"/>
    <sheet name="proj 2023" sheetId="20" r:id="rId7"/>
    <sheet name="Blad4" sheetId="25" r:id="rId8"/>
    <sheet name="jaarekening 2022" sheetId="23" r:id="rId9"/>
    <sheet name="jaarrekening 2021" sheetId="19" r:id="rId10"/>
    <sheet name="31 dec 2021" sheetId="18" r:id="rId11"/>
    <sheet name="proj 2021" sheetId="17" r:id="rId12"/>
    <sheet name="Blad3" sheetId="21" r:id="rId13"/>
    <sheet name="jaarrekening 2020" sheetId="16" r:id="rId14"/>
    <sheet name="31 dec 2020" sheetId="14" r:id="rId15"/>
    <sheet name="project 2020" sheetId="13" r:id="rId16"/>
    <sheet name="Blad1" sheetId="15" r:id="rId17"/>
    <sheet name="jaarekening 2019  begr 2020" sheetId="12" r:id="rId18"/>
    <sheet name="31 dec 2019" sheetId="6" r:id="rId19"/>
    <sheet name="project 2019" sheetId="11" r:id="rId20"/>
    <sheet name="project 2018 def" sheetId="9" r:id="rId21"/>
    <sheet name="jaarek 2018 begr 2019" sheetId="8" r:id="rId22"/>
    <sheet name="project 2018" sheetId="5" r:id="rId23"/>
    <sheet name="jaarrek 2017 begr 2018 " sheetId="7" r:id="rId24"/>
    <sheet name="jaarekening 2016 begr 2017" sheetId="4" r:id="rId25"/>
    <sheet name="fin overz 31 dec 2016" sheetId="3" r:id="rId26"/>
    <sheet name="project 2016" sheetId="2" r:id="rId27"/>
    <sheet name="projecten 2015" sheetId="1" r:id="rId28"/>
  </sheets>
  <externalReferences>
    <externalReference r:id="rId29"/>
    <externalReference r:id="rId30"/>
    <externalReference r:id="rId31"/>
  </externalReferences>
  <definedNames>
    <definedName name="_xlnm.Print_Area" localSheetId="18">'31 dec 2019'!$A$4:$M$32</definedName>
    <definedName name="_xlnm.Print_Area" localSheetId="10">'31 dec 2021'!$A$1:$M$48</definedName>
    <definedName name="_xlnm.Print_Area" localSheetId="5">'31 dec 2023'!$A$1:$K$33</definedName>
    <definedName name="_xlnm.Print_Area" localSheetId="0">'31 dec 2024'!$A$1:$K$33</definedName>
    <definedName name="_xlnm.Print_Area" localSheetId="16">Blad1!$B$1:$J$54</definedName>
    <definedName name="_xlnm.Print_Area" localSheetId="25">'fin overz 31 dec 2016'!$B$7:$N$33</definedName>
    <definedName name="_xlnm.Print_Area" localSheetId="21">'jaarek 2018 begr 2019'!$L$2:$T$26</definedName>
    <definedName name="_xlnm.Print_Area" localSheetId="17">'jaarekening 2019  begr 2020'!$L$1:$T$26</definedName>
    <definedName name="_xlnm.Print_Area" localSheetId="8">'jaarekening 2022'!$A$1:$I$48</definedName>
    <definedName name="_xlnm.Print_Area" localSheetId="1">'jaarrek 2024'!$A$1:$I$48</definedName>
    <definedName name="_xlnm.Print_Area" localSheetId="11">'proj 2021'!$A$1:$H$196</definedName>
    <definedName name="_xlnm.Print_Area" localSheetId="6">'proj 2023'!$A$1:$I$272</definedName>
    <definedName name="_xlnm.Print_Area" localSheetId="26">'project 2016'!$B$1:$F$169</definedName>
    <definedName name="_xlnm.Print_Area" localSheetId="22">'project 2018'!$A$1:$H$376</definedName>
    <definedName name="_xlnm.Print_Area" localSheetId="15">'project 2020'!$A$1:$J$211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28" l="1"/>
  <c r="F17" i="28"/>
  <c r="F13" i="28"/>
  <c r="F14" i="28"/>
  <c r="I15" i="28"/>
  <c r="I24" i="28" s="1"/>
  <c r="H15" i="28"/>
  <c r="F15" i="28"/>
  <c r="H24" i="28"/>
  <c r="H24" i="27"/>
  <c r="F172" i="29"/>
  <c r="F168" i="29"/>
  <c r="F152" i="29"/>
  <c r="F153" i="29" s="1"/>
  <c r="F138" i="29"/>
  <c r="F133" i="29"/>
  <c r="F129" i="29"/>
  <c r="F110" i="29"/>
  <c r="F119" i="29" s="1"/>
  <c r="F108" i="29"/>
  <c r="B92" i="29"/>
  <c r="F91" i="29"/>
  <c r="F87" i="29"/>
  <c r="F82" i="29"/>
  <c r="F78" i="29"/>
  <c r="F69" i="29"/>
  <c r="F65" i="29"/>
  <c r="B58" i="29"/>
  <c r="F57" i="29"/>
  <c r="F54" i="29"/>
  <c r="B50" i="29"/>
  <c r="F49" i="29"/>
  <c r="F44" i="29"/>
  <c r="F31" i="29"/>
  <c r="F27" i="29"/>
  <c r="F22" i="29"/>
  <c r="F18" i="29"/>
  <c r="F23" i="29" s="1"/>
  <c r="B2" i="29"/>
  <c r="B173" i="29" s="1"/>
  <c r="C38" i="28"/>
  <c r="C36" i="28"/>
  <c r="C34" i="28"/>
  <c r="C33" i="28"/>
  <c r="D38" i="28"/>
  <c r="D39" i="28" s="1"/>
  <c r="I41" i="28" s="1"/>
  <c r="D37" i="28"/>
  <c r="D36" i="28"/>
  <c r="D34" i="28"/>
  <c r="D33" i="28"/>
  <c r="H38" i="28"/>
  <c r="H37" i="28"/>
  <c r="H36" i="28"/>
  <c r="H34" i="28"/>
  <c r="H33" i="28"/>
  <c r="H31" i="28"/>
  <c r="I39" i="28"/>
  <c r="I38" i="28"/>
  <c r="I37" i="28"/>
  <c r="I36" i="28"/>
  <c r="I34" i="28"/>
  <c r="I33" i="28"/>
  <c r="I31" i="28"/>
  <c r="H18" i="28"/>
  <c r="H17" i="28"/>
  <c r="H14" i="28"/>
  <c r="H13" i="28"/>
  <c r="H11" i="28"/>
  <c r="H8" i="28"/>
  <c r="I8" i="28"/>
  <c r="I18" i="28"/>
  <c r="I17" i="28"/>
  <c r="I14" i="28"/>
  <c r="I13" i="28"/>
  <c r="I11" i="28"/>
  <c r="C24" i="28"/>
  <c r="C12" i="28"/>
  <c r="C9" i="28"/>
  <c r="D24" i="28"/>
  <c r="D12" i="28"/>
  <c r="D20" i="28" s="1"/>
  <c r="I20" i="28" s="1"/>
  <c r="D9" i="28"/>
  <c r="F38" i="28"/>
  <c r="B38" i="28"/>
  <c r="F37" i="28"/>
  <c r="C39" i="28"/>
  <c r="F32" i="28"/>
  <c r="H28" i="28"/>
  <c r="C28" i="28"/>
  <c r="C20" i="28"/>
  <c r="H20" i="28" s="1"/>
  <c r="G17" i="28"/>
  <c r="G14" i="28"/>
  <c r="G13" i="28"/>
  <c r="G11" i="28"/>
  <c r="F11" i="28"/>
  <c r="C8" i="28"/>
  <c r="F50" i="29" l="1"/>
  <c r="F58" i="29" s="1"/>
  <c r="F83" i="29"/>
  <c r="F92" i="29" s="1"/>
  <c r="F32" i="29"/>
  <c r="B32" i="29"/>
  <c r="F70" i="29"/>
  <c r="B134" i="29"/>
  <c r="B70" i="29"/>
  <c r="F120" i="29"/>
  <c r="F134" i="29" s="1"/>
  <c r="F173" i="29"/>
  <c r="H39" i="28"/>
  <c r="H40" i="28"/>
  <c r="F152" i="26" l="1"/>
  <c r="K17" i="27" l="1"/>
  <c r="B2" i="26"/>
  <c r="B54" i="26" s="1"/>
  <c r="F91" i="26"/>
  <c r="J17" i="27" s="1"/>
  <c r="F87" i="26"/>
  <c r="I17" i="27" s="1"/>
  <c r="F191" i="26"/>
  <c r="H8" i="27"/>
  <c r="B10" i="27"/>
  <c r="F92" i="26" l="1"/>
  <c r="B92" i="26"/>
  <c r="A25" i="27"/>
  <c r="I24" i="27"/>
  <c r="I20" i="27"/>
  <c r="B114" i="26"/>
  <c r="B80" i="26"/>
  <c r="B196" i="26"/>
  <c r="F195" i="26"/>
  <c r="J24" i="27" s="1"/>
  <c r="B157" i="26"/>
  <c r="F156" i="26"/>
  <c r="J20" i="27" s="1"/>
  <c r="F113" i="26"/>
  <c r="J18" i="27" s="1"/>
  <c r="F109" i="26"/>
  <c r="I18" i="27" s="1"/>
  <c r="F79" i="26"/>
  <c r="J16" i="27" s="1"/>
  <c r="F76" i="26"/>
  <c r="I16" i="27" s="1"/>
  <c r="F53" i="26"/>
  <c r="J14" i="27" s="1"/>
  <c r="F49" i="26"/>
  <c r="I14" i="27" s="1"/>
  <c r="F175" i="26"/>
  <c r="F161" i="26"/>
  <c r="F132" i="26"/>
  <c r="F141" i="26" s="1"/>
  <c r="F130" i="26"/>
  <c r="F104" i="26"/>
  <c r="F100" i="26"/>
  <c r="B72" i="26"/>
  <c r="F71" i="26"/>
  <c r="F66" i="26"/>
  <c r="F44" i="26"/>
  <c r="F40" i="26"/>
  <c r="F25" i="26"/>
  <c r="F26" i="26" s="1"/>
  <c r="F21" i="26"/>
  <c r="F270" i="20"/>
  <c r="H31" i="24"/>
  <c r="F239" i="20"/>
  <c r="F252" i="20" s="1"/>
  <c r="F241" i="20"/>
  <c r="F250" i="20" s="1"/>
  <c r="J20" i="22" s="1"/>
  <c r="C38" i="24" s="1"/>
  <c r="F177" i="20"/>
  <c r="F62" i="20"/>
  <c r="F63" i="20" s="1"/>
  <c r="J12" i="22" s="1"/>
  <c r="H13" i="27"/>
  <c r="H15" i="27"/>
  <c r="H17" i="27"/>
  <c r="H19" i="27"/>
  <c r="H21" i="27"/>
  <c r="H28" i="24"/>
  <c r="C28" i="24"/>
  <c r="F38" i="24"/>
  <c r="D39" i="24"/>
  <c r="I41" i="25"/>
  <c r="H37" i="25"/>
  <c r="F37" i="25"/>
  <c r="C37" i="25"/>
  <c r="H36" i="25"/>
  <c r="C36" i="25"/>
  <c r="H34" i="25"/>
  <c r="C34" i="25"/>
  <c r="H33" i="25"/>
  <c r="F32" i="25"/>
  <c r="H31" i="25"/>
  <c r="C31" i="25"/>
  <c r="I18" i="25"/>
  <c r="H18" i="25"/>
  <c r="G18" i="25"/>
  <c r="F18" i="25"/>
  <c r="I17" i="25"/>
  <c r="H17" i="25"/>
  <c r="G17" i="25"/>
  <c r="F17" i="25"/>
  <c r="I14" i="25"/>
  <c r="H14" i="25"/>
  <c r="G14" i="25"/>
  <c r="F14" i="25"/>
  <c r="I13" i="25"/>
  <c r="H13" i="25"/>
  <c r="G13" i="25"/>
  <c r="F13" i="25"/>
  <c r="D12" i="25"/>
  <c r="C12" i="25"/>
  <c r="I11" i="25"/>
  <c r="H11" i="25"/>
  <c r="G11" i="25"/>
  <c r="F11" i="25"/>
  <c r="D9" i="25"/>
  <c r="D20" i="25" s="1"/>
  <c r="C9" i="25"/>
  <c r="I8" i="25"/>
  <c r="C8" i="25"/>
  <c r="I18" i="24"/>
  <c r="F18" i="24"/>
  <c r="I41" i="24"/>
  <c r="F37" i="24"/>
  <c r="F32" i="24"/>
  <c r="G17" i="24"/>
  <c r="F17" i="24"/>
  <c r="G14" i="24"/>
  <c r="F14" i="24"/>
  <c r="G13" i="24"/>
  <c r="F13" i="24"/>
  <c r="G11" i="24"/>
  <c r="F11" i="24"/>
  <c r="C8" i="24"/>
  <c r="F58" i="20"/>
  <c r="I12" i="22" s="1"/>
  <c r="K20" i="22"/>
  <c r="F20" i="22"/>
  <c r="B38" i="24" s="1"/>
  <c r="E20" i="22"/>
  <c r="C25" i="22"/>
  <c r="F102" i="20"/>
  <c r="I14" i="22" s="1"/>
  <c r="F143" i="20"/>
  <c r="I16" i="22" s="1"/>
  <c r="B149" i="20"/>
  <c r="I18" i="22"/>
  <c r="B10" i="22"/>
  <c r="F181" i="20"/>
  <c r="J18" i="22" s="1"/>
  <c r="C36" i="24" s="1"/>
  <c r="F148" i="20"/>
  <c r="J16" i="22" s="1"/>
  <c r="F107" i="20"/>
  <c r="J14" i="22" s="1"/>
  <c r="C33" i="24" s="1"/>
  <c r="D20" i="23"/>
  <c r="D12" i="23"/>
  <c r="I18" i="23"/>
  <c r="I17" i="23"/>
  <c r="I14" i="23"/>
  <c r="I13" i="23"/>
  <c r="I11" i="23"/>
  <c r="I8" i="23"/>
  <c r="D9" i="23"/>
  <c r="C31" i="23"/>
  <c r="F37" i="23"/>
  <c r="F32" i="23"/>
  <c r="G18" i="23"/>
  <c r="F18" i="23"/>
  <c r="G17" i="23"/>
  <c r="F17" i="23"/>
  <c r="G14" i="23"/>
  <c r="F14" i="23"/>
  <c r="G13" i="23"/>
  <c r="F13" i="23"/>
  <c r="G11" i="23"/>
  <c r="F11" i="23"/>
  <c r="C8" i="23"/>
  <c r="F39" i="20"/>
  <c r="H31" i="23" s="1"/>
  <c r="F172" i="20"/>
  <c r="C36" i="23" s="1"/>
  <c r="F131" i="20"/>
  <c r="H34" i="23" s="1"/>
  <c r="F91" i="20"/>
  <c r="H33" i="23" s="1"/>
  <c r="F220" i="20"/>
  <c r="F222" i="20" s="1"/>
  <c r="H37" i="23" s="1"/>
  <c r="F18" i="22"/>
  <c r="E18" i="22"/>
  <c r="F16" i="22"/>
  <c r="E16" i="22"/>
  <c r="F14" i="22"/>
  <c r="E14" i="22"/>
  <c r="F12" i="22"/>
  <c r="E12" i="22"/>
  <c r="A11" i="22"/>
  <c r="E10" i="22"/>
  <c r="J8" i="22"/>
  <c r="I8" i="22"/>
  <c r="H8" i="22"/>
  <c r="G8" i="22"/>
  <c r="F256" i="20"/>
  <c r="F262" i="20"/>
  <c r="K24" i="22" s="1"/>
  <c r="F226" i="20"/>
  <c r="C37" i="23" s="1"/>
  <c r="F167" i="20"/>
  <c r="I36" i="24" s="1"/>
  <c r="F135" i="20"/>
  <c r="C34" i="23" s="1"/>
  <c r="F94" i="20"/>
  <c r="F42" i="20"/>
  <c r="F216" i="20"/>
  <c r="F200" i="20"/>
  <c r="F162" i="20"/>
  <c r="F158" i="20"/>
  <c r="F123" i="20"/>
  <c r="F117" i="20"/>
  <c r="F81" i="20"/>
  <c r="F76" i="20"/>
  <c r="F23" i="20"/>
  <c r="F13" i="20"/>
  <c r="F20" i="20" s="1"/>
  <c r="H34" i="16"/>
  <c r="H36" i="16"/>
  <c r="H37" i="16"/>
  <c r="H38" i="16"/>
  <c r="H39" i="16"/>
  <c r="H40" i="16"/>
  <c r="H42" i="16"/>
  <c r="H47" i="16"/>
  <c r="H37" i="19"/>
  <c r="D39" i="19"/>
  <c r="I41" i="19"/>
  <c r="H36" i="19"/>
  <c r="C37" i="19"/>
  <c r="C36" i="19"/>
  <c r="C34" i="19"/>
  <c r="C33" i="19"/>
  <c r="H34" i="19"/>
  <c r="H33" i="19"/>
  <c r="H31" i="19"/>
  <c r="H18" i="19"/>
  <c r="H17" i="19"/>
  <c r="H14" i="19"/>
  <c r="H13" i="19"/>
  <c r="H11" i="19"/>
  <c r="C12" i="19"/>
  <c r="C9" i="19"/>
  <c r="F37" i="19"/>
  <c r="F32" i="19"/>
  <c r="H39" i="19"/>
  <c r="G18" i="19"/>
  <c r="F18" i="19"/>
  <c r="G17" i="19"/>
  <c r="F17" i="19"/>
  <c r="G14" i="19"/>
  <c r="F14" i="19"/>
  <c r="G13" i="19"/>
  <c r="F13" i="19"/>
  <c r="G11" i="19"/>
  <c r="F11" i="19"/>
  <c r="C8" i="19"/>
  <c r="C20" i="19"/>
  <c r="H20" i="19"/>
  <c r="C39" i="19"/>
  <c r="D22" i="19"/>
  <c r="F99" i="17"/>
  <c r="F10" i="1"/>
  <c r="F12" i="1"/>
  <c r="F15" i="1"/>
  <c r="F18" i="1"/>
  <c r="F27" i="1"/>
  <c r="F34" i="1"/>
  <c r="F35" i="1"/>
  <c r="F37" i="1"/>
  <c r="C39" i="1"/>
  <c r="F39" i="1"/>
  <c r="F51" i="1"/>
  <c r="F55" i="1"/>
  <c r="F64" i="1"/>
  <c r="F70" i="1"/>
  <c r="F75" i="1"/>
  <c r="F80" i="1"/>
  <c r="F88" i="1"/>
  <c r="F89" i="1"/>
  <c r="F90" i="1"/>
  <c r="F91" i="1"/>
  <c r="F93" i="1"/>
  <c r="F105" i="1"/>
  <c r="F106" i="1"/>
  <c r="L106" i="1"/>
  <c r="L108" i="1" s="1"/>
  <c r="F107" i="1"/>
  <c r="F108" i="1"/>
  <c r="F109" i="1"/>
  <c r="F110" i="1"/>
  <c r="F111" i="1"/>
  <c r="F113" i="1"/>
  <c r="F114" i="1"/>
  <c r="F115" i="1"/>
  <c r="F116" i="1"/>
  <c r="F117" i="1"/>
  <c r="C119" i="1"/>
  <c r="C120" i="1"/>
  <c r="F120" i="1"/>
  <c r="C121" i="1"/>
  <c r="F121" i="1"/>
  <c r="C122" i="1"/>
  <c r="F122" i="1"/>
  <c r="F124" i="1"/>
  <c r="F130" i="1"/>
  <c r="F132" i="1"/>
  <c r="F134" i="1"/>
  <c r="B2" i="2"/>
  <c r="F9" i="2"/>
  <c r="F12" i="2"/>
  <c r="B13" i="2"/>
  <c r="F13" i="2"/>
  <c r="B23" i="2"/>
  <c r="C23" i="2"/>
  <c r="B35" i="2"/>
  <c r="C35" i="2"/>
  <c r="F35" i="2"/>
  <c r="F52" i="2"/>
  <c r="F66" i="2"/>
  <c r="B67" i="2"/>
  <c r="C67" i="2"/>
  <c r="F67" i="2"/>
  <c r="B78" i="2"/>
  <c r="C78" i="2"/>
  <c r="F78" i="2"/>
  <c r="F83" i="2"/>
  <c r="F87" i="2"/>
  <c r="B91" i="2"/>
  <c r="F91" i="2"/>
  <c r="F98" i="2"/>
  <c r="F105" i="2"/>
  <c r="F107" i="2"/>
  <c r="F108" i="2"/>
  <c r="F110" i="2"/>
  <c r="F111" i="2"/>
  <c r="F116" i="2"/>
  <c r="F119" i="2"/>
  <c r="B122" i="2"/>
  <c r="C122" i="2"/>
  <c r="F122" i="2"/>
  <c r="F131" i="2"/>
  <c r="F132" i="2"/>
  <c r="B133" i="2"/>
  <c r="C133" i="2"/>
  <c r="F133" i="2"/>
  <c r="F140" i="2"/>
  <c r="B141" i="2"/>
  <c r="C141" i="2"/>
  <c r="F141" i="2"/>
  <c r="F149" i="2"/>
  <c r="C151" i="2"/>
  <c r="F151" i="2"/>
  <c r="F153" i="2"/>
  <c r="B162" i="2"/>
  <c r="C162" i="2"/>
  <c r="F162" i="2"/>
  <c r="B168" i="2"/>
  <c r="C168" i="2"/>
  <c r="F168" i="2"/>
  <c r="E8" i="3"/>
  <c r="G13" i="3"/>
  <c r="H13" i="3"/>
  <c r="I13" i="3"/>
  <c r="J13" i="3"/>
  <c r="B15" i="3"/>
  <c r="E15" i="3"/>
  <c r="H16" i="3"/>
  <c r="I16" i="3"/>
  <c r="J16" i="3"/>
  <c r="K16" i="3"/>
  <c r="G17" i="3"/>
  <c r="H17" i="3"/>
  <c r="I17" i="3"/>
  <c r="K17" i="3"/>
  <c r="G18" i="3"/>
  <c r="H18" i="3"/>
  <c r="I18" i="3"/>
  <c r="K18" i="3"/>
  <c r="H19" i="3"/>
  <c r="I19" i="3"/>
  <c r="K19" i="3"/>
  <c r="C20" i="3"/>
  <c r="G20" i="3"/>
  <c r="H20" i="3"/>
  <c r="I20" i="3"/>
  <c r="K20" i="3"/>
  <c r="H21" i="3"/>
  <c r="I21" i="3"/>
  <c r="J21" i="3"/>
  <c r="K21" i="3"/>
  <c r="H22" i="3"/>
  <c r="I22" i="3"/>
  <c r="J22" i="3"/>
  <c r="K22" i="3"/>
  <c r="G23" i="3"/>
  <c r="H23" i="3"/>
  <c r="I23" i="3"/>
  <c r="J23" i="3"/>
  <c r="K23" i="3"/>
  <c r="H24" i="3"/>
  <c r="I24" i="3"/>
  <c r="J24" i="3"/>
  <c r="K24" i="3"/>
  <c r="G25" i="3"/>
  <c r="I25" i="3"/>
  <c r="K25" i="3"/>
  <c r="H26" i="3"/>
  <c r="J26" i="3"/>
  <c r="K28" i="3"/>
  <c r="G29" i="3"/>
  <c r="C30" i="3"/>
  <c r="G30" i="3"/>
  <c r="H30" i="3"/>
  <c r="I30" i="3"/>
  <c r="J30" i="3"/>
  <c r="K30" i="3"/>
  <c r="G32" i="3"/>
  <c r="I32" i="3"/>
  <c r="J33" i="3"/>
  <c r="O7" i="4"/>
  <c r="Q7" i="4"/>
  <c r="R7" i="4"/>
  <c r="S7" i="4"/>
  <c r="C8" i="4"/>
  <c r="D8" i="4"/>
  <c r="I8" i="4"/>
  <c r="K8" i="4"/>
  <c r="O8" i="4"/>
  <c r="Q8" i="4"/>
  <c r="R8" i="4"/>
  <c r="S8" i="4"/>
  <c r="C9" i="4"/>
  <c r="D9" i="4"/>
  <c r="O9" i="4"/>
  <c r="Q9" i="4"/>
  <c r="R9" i="4"/>
  <c r="S9" i="4"/>
  <c r="A10" i="4"/>
  <c r="H10" i="4"/>
  <c r="I10" i="4"/>
  <c r="J10" i="4"/>
  <c r="Q10" i="4"/>
  <c r="R10" i="4"/>
  <c r="S10" i="4"/>
  <c r="H11" i="4"/>
  <c r="I11" i="4"/>
  <c r="J11" i="4"/>
  <c r="Q11" i="4"/>
  <c r="R11" i="4"/>
  <c r="S11" i="4"/>
  <c r="C12" i="4"/>
  <c r="D12" i="4"/>
  <c r="D23" i="4"/>
  <c r="J23" i="4" s="1"/>
  <c r="H12" i="4"/>
  <c r="I12" i="4"/>
  <c r="J12" i="4"/>
  <c r="Q12" i="4"/>
  <c r="R12" i="4"/>
  <c r="S12" i="4"/>
  <c r="A13" i="4"/>
  <c r="H13" i="4"/>
  <c r="I13" i="4"/>
  <c r="J13" i="4"/>
  <c r="Q13" i="4"/>
  <c r="R13" i="4"/>
  <c r="S13" i="4"/>
  <c r="H14" i="4"/>
  <c r="I14" i="4"/>
  <c r="J14" i="4"/>
  <c r="Q14" i="4"/>
  <c r="R14" i="4"/>
  <c r="S14" i="4"/>
  <c r="H15" i="4"/>
  <c r="I15" i="4"/>
  <c r="J15" i="4"/>
  <c r="Q15" i="4"/>
  <c r="R15" i="4"/>
  <c r="S15" i="4"/>
  <c r="H16" i="4"/>
  <c r="I16" i="4"/>
  <c r="Q16" i="4"/>
  <c r="R16" i="4"/>
  <c r="S16" i="4"/>
  <c r="G17" i="4"/>
  <c r="H17" i="4"/>
  <c r="I17" i="4"/>
  <c r="Q17" i="4"/>
  <c r="R17" i="4"/>
  <c r="S17" i="4"/>
  <c r="G18" i="4"/>
  <c r="H18" i="4"/>
  <c r="I18" i="4"/>
  <c r="G19" i="4"/>
  <c r="H19" i="4"/>
  <c r="I19" i="4"/>
  <c r="G20" i="4"/>
  <c r="H20" i="4"/>
  <c r="I20" i="4"/>
  <c r="S21" i="4"/>
  <c r="S22" i="4"/>
  <c r="C23" i="4"/>
  <c r="E23" i="4"/>
  <c r="I23" i="4"/>
  <c r="K23" i="4"/>
  <c r="O23" i="4"/>
  <c r="S23" i="4"/>
  <c r="H30" i="4"/>
  <c r="I30" i="4"/>
  <c r="J30" i="4"/>
  <c r="C31" i="4"/>
  <c r="H31" i="4"/>
  <c r="I31" i="4"/>
  <c r="J31" i="4"/>
  <c r="A32" i="4"/>
  <c r="C32" i="4"/>
  <c r="H32" i="4"/>
  <c r="I32" i="4"/>
  <c r="J32" i="4"/>
  <c r="C33" i="4"/>
  <c r="G33" i="4"/>
  <c r="H33" i="4"/>
  <c r="I33" i="4"/>
  <c r="J33" i="4"/>
  <c r="A34" i="4"/>
  <c r="C34" i="4"/>
  <c r="I34" i="4"/>
  <c r="A35" i="4"/>
  <c r="C35" i="4"/>
  <c r="G35" i="4"/>
  <c r="I35" i="4"/>
  <c r="A36" i="4"/>
  <c r="C36" i="4"/>
  <c r="G36" i="4"/>
  <c r="I36" i="4"/>
  <c r="A37" i="4"/>
  <c r="C37" i="4"/>
  <c r="G37" i="4"/>
  <c r="I37" i="4"/>
  <c r="C43" i="4"/>
  <c r="D43" i="4"/>
  <c r="E43" i="4"/>
  <c r="I43" i="4"/>
  <c r="K43" i="4"/>
  <c r="I45" i="4"/>
  <c r="K47" i="4"/>
  <c r="M7" i="7"/>
  <c r="N7" i="7"/>
  <c r="P7" i="7"/>
  <c r="Q7" i="7"/>
  <c r="R7" i="7"/>
  <c r="S7" i="7"/>
  <c r="D8" i="7"/>
  <c r="H8" i="7"/>
  <c r="I8" i="7"/>
  <c r="M8" i="7"/>
  <c r="N8" i="7"/>
  <c r="P8" i="7"/>
  <c r="Q8" i="7"/>
  <c r="R8" i="7"/>
  <c r="S8" i="7"/>
  <c r="D9" i="7"/>
  <c r="M9" i="7"/>
  <c r="N9" i="7"/>
  <c r="P9" i="7"/>
  <c r="Q9" i="7"/>
  <c r="R9" i="7"/>
  <c r="S9" i="7"/>
  <c r="F10" i="7"/>
  <c r="G10" i="7"/>
  <c r="H10" i="7"/>
  <c r="I10" i="7"/>
  <c r="P10" i="7"/>
  <c r="Q10" i="7"/>
  <c r="R10" i="7"/>
  <c r="S10" i="7"/>
  <c r="F11" i="7"/>
  <c r="G11" i="7"/>
  <c r="H11" i="7"/>
  <c r="I11" i="7"/>
  <c r="P11" i="7"/>
  <c r="Q11" i="7"/>
  <c r="R11" i="7"/>
  <c r="S11" i="7"/>
  <c r="D12" i="7"/>
  <c r="F12" i="7"/>
  <c r="G12" i="7"/>
  <c r="H12" i="7"/>
  <c r="I12" i="7"/>
  <c r="P12" i="7"/>
  <c r="Q12" i="7"/>
  <c r="R12" i="7"/>
  <c r="S12" i="7"/>
  <c r="F13" i="7"/>
  <c r="G13" i="7"/>
  <c r="H13" i="7"/>
  <c r="I13" i="7"/>
  <c r="P13" i="7"/>
  <c r="Q13" i="7"/>
  <c r="R13" i="7"/>
  <c r="S13" i="7"/>
  <c r="F14" i="7"/>
  <c r="G14" i="7"/>
  <c r="H14" i="7"/>
  <c r="I14" i="7"/>
  <c r="P14" i="7"/>
  <c r="Q14" i="7"/>
  <c r="R14" i="7"/>
  <c r="S14" i="7"/>
  <c r="F15" i="7"/>
  <c r="G15" i="7"/>
  <c r="H15" i="7"/>
  <c r="I15" i="7"/>
  <c r="P15" i="7"/>
  <c r="Q15" i="7"/>
  <c r="R15" i="7"/>
  <c r="S15" i="7"/>
  <c r="F16" i="7"/>
  <c r="G16" i="7"/>
  <c r="H16" i="7"/>
  <c r="I16" i="7"/>
  <c r="P16" i="7"/>
  <c r="Q16" i="7"/>
  <c r="R16" i="7"/>
  <c r="S16" i="7"/>
  <c r="F17" i="7"/>
  <c r="G17" i="7"/>
  <c r="H17" i="7"/>
  <c r="I17" i="7"/>
  <c r="P17" i="7"/>
  <c r="Q17" i="7"/>
  <c r="S17" i="7"/>
  <c r="F18" i="7"/>
  <c r="G18" i="7"/>
  <c r="H18" i="7"/>
  <c r="I18" i="7"/>
  <c r="Q18" i="7"/>
  <c r="R18" i="7"/>
  <c r="F19" i="7"/>
  <c r="G19" i="7"/>
  <c r="H19" i="7"/>
  <c r="I19" i="7"/>
  <c r="F20" i="7"/>
  <c r="G20" i="7"/>
  <c r="H20" i="7"/>
  <c r="I20" i="7"/>
  <c r="F21" i="7"/>
  <c r="G21" i="7"/>
  <c r="H21" i="7"/>
  <c r="R21" i="7"/>
  <c r="S21" i="7"/>
  <c r="R22" i="7"/>
  <c r="S22" i="7"/>
  <c r="C23" i="7"/>
  <c r="D23" i="7"/>
  <c r="H23" i="7"/>
  <c r="I23" i="7"/>
  <c r="M23" i="7"/>
  <c r="N23" i="7"/>
  <c r="R23" i="7"/>
  <c r="S23" i="7"/>
  <c r="M25" i="7"/>
  <c r="P25" i="7"/>
  <c r="C26" i="7"/>
  <c r="M26" i="7"/>
  <c r="M28" i="7"/>
  <c r="M29" i="7"/>
  <c r="G30" i="7"/>
  <c r="H30" i="7"/>
  <c r="I30" i="7"/>
  <c r="M30" i="7"/>
  <c r="C31" i="7"/>
  <c r="D31" i="7"/>
  <c r="G31" i="7"/>
  <c r="H31" i="7"/>
  <c r="I31" i="7"/>
  <c r="C32" i="7"/>
  <c r="F32" i="7"/>
  <c r="H32" i="7"/>
  <c r="M32" i="7"/>
  <c r="A33" i="7"/>
  <c r="D33" i="7"/>
  <c r="G33" i="7"/>
  <c r="H33" i="7"/>
  <c r="I33" i="7"/>
  <c r="C34" i="7"/>
  <c r="D34" i="7"/>
  <c r="G34" i="7"/>
  <c r="H34" i="7"/>
  <c r="I34" i="7"/>
  <c r="A35" i="7"/>
  <c r="C35" i="7"/>
  <c r="D35" i="7"/>
  <c r="H35" i="7"/>
  <c r="I35" i="7"/>
  <c r="A36" i="7"/>
  <c r="C36" i="7"/>
  <c r="D36" i="7"/>
  <c r="F36" i="7"/>
  <c r="I36" i="7"/>
  <c r="A37" i="7"/>
  <c r="C37" i="7"/>
  <c r="D37" i="7"/>
  <c r="F37" i="7"/>
  <c r="I37" i="7"/>
  <c r="A38" i="7"/>
  <c r="C38" i="7"/>
  <c r="D38" i="7"/>
  <c r="F38" i="7"/>
  <c r="I38" i="7"/>
  <c r="C39" i="7"/>
  <c r="F39" i="7"/>
  <c r="H39" i="7"/>
  <c r="F40" i="7"/>
  <c r="H40" i="7"/>
  <c r="C44" i="7"/>
  <c r="D44" i="7"/>
  <c r="H44" i="7"/>
  <c r="I44" i="7"/>
  <c r="H45" i="7"/>
  <c r="I46" i="7"/>
  <c r="B2" i="5"/>
  <c r="F7" i="5"/>
  <c r="F10" i="5"/>
  <c r="F11" i="5"/>
  <c r="F16" i="5"/>
  <c r="F17" i="5"/>
  <c r="F19" i="5"/>
  <c r="F21" i="5"/>
  <c r="F25" i="5"/>
  <c r="B26" i="5"/>
  <c r="F26" i="5"/>
  <c r="F31" i="5"/>
  <c r="B33" i="5"/>
  <c r="C33" i="5"/>
  <c r="F33" i="5"/>
  <c r="F36" i="5"/>
  <c r="F38" i="5"/>
  <c r="F40" i="5"/>
  <c r="F44" i="5"/>
  <c r="B45" i="5"/>
  <c r="F45" i="5"/>
  <c r="F50" i="5"/>
  <c r="B54" i="5"/>
  <c r="C54" i="5"/>
  <c r="F54" i="5"/>
  <c r="F55" i="5"/>
  <c r="F56" i="5"/>
  <c r="F61" i="5"/>
  <c r="F63" i="5"/>
  <c r="F77" i="5"/>
  <c r="B78" i="5"/>
  <c r="C78" i="5"/>
  <c r="F78" i="5"/>
  <c r="F80" i="5"/>
  <c r="F81" i="5"/>
  <c r="F82" i="5"/>
  <c r="F83" i="5"/>
  <c r="F87" i="5"/>
  <c r="F101" i="5"/>
  <c r="F103" i="5"/>
  <c r="F118" i="5"/>
  <c r="F122" i="5"/>
  <c r="B123" i="5"/>
  <c r="F123" i="5"/>
  <c r="F127" i="5"/>
  <c r="B130" i="5"/>
  <c r="C130" i="5"/>
  <c r="F130" i="5"/>
  <c r="F132" i="5"/>
  <c r="F133" i="5"/>
  <c r="F134" i="5"/>
  <c r="F135" i="5"/>
  <c r="F139" i="5"/>
  <c r="F143" i="5"/>
  <c r="B147" i="5"/>
  <c r="F147" i="5"/>
  <c r="F149" i="5"/>
  <c r="F150" i="5"/>
  <c r="F151" i="5"/>
  <c r="F155" i="5"/>
  <c r="F159" i="5"/>
  <c r="B160" i="5"/>
  <c r="F160" i="5"/>
  <c r="F167" i="5"/>
  <c r="F174" i="5"/>
  <c r="F176" i="5"/>
  <c r="F177" i="5"/>
  <c r="F179" i="5"/>
  <c r="F180" i="5"/>
  <c r="F185" i="5"/>
  <c r="F188" i="5"/>
  <c r="B191" i="5"/>
  <c r="C191" i="5"/>
  <c r="F191" i="5"/>
  <c r="F196" i="5"/>
  <c r="F198" i="5"/>
  <c r="F203" i="5"/>
  <c r="F204" i="5"/>
  <c r="F218" i="5"/>
  <c r="F222" i="5"/>
  <c r="B223" i="5"/>
  <c r="F223" i="5"/>
  <c r="F232" i="5"/>
  <c r="F233" i="5"/>
  <c r="B234" i="5"/>
  <c r="C234" i="5"/>
  <c r="F234" i="5"/>
  <c r="F236" i="5"/>
  <c r="F240" i="5"/>
  <c r="F244" i="5"/>
  <c r="B245" i="5"/>
  <c r="F245" i="5"/>
  <c r="F252" i="5"/>
  <c r="B253" i="5"/>
  <c r="C253" i="5"/>
  <c r="F253" i="5"/>
  <c r="F257" i="5"/>
  <c r="F261" i="5"/>
  <c r="F265" i="5"/>
  <c r="B266" i="5"/>
  <c r="F266" i="5"/>
  <c r="F273" i="5"/>
  <c r="C275" i="5"/>
  <c r="F275" i="5"/>
  <c r="F276" i="5"/>
  <c r="B277" i="5"/>
  <c r="F277" i="5"/>
  <c r="B286" i="5"/>
  <c r="C286" i="5"/>
  <c r="F286" i="5"/>
  <c r="F290" i="5"/>
  <c r="J298" i="5"/>
  <c r="F299" i="5"/>
  <c r="F300" i="5"/>
  <c r="F326" i="5"/>
  <c r="F328" i="5"/>
  <c r="F336" i="5"/>
  <c r="F339" i="5"/>
  <c r="J340" i="5"/>
  <c r="J341" i="5"/>
  <c r="B342" i="5"/>
  <c r="C342" i="5"/>
  <c r="F342" i="5"/>
  <c r="B343" i="5"/>
  <c r="C343" i="5"/>
  <c r="F343" i="5"/>
  <c r="J344" i="5"/>
  <c r="F345" i="5"/>
  <c r="B346" i="5"/>
  <c r="F346" i="5"/>
  <c r="F355" i="5"/>
  <c r="F356" i="5"/>
  <c r="F358" i="5"/>
  <c r="B360" i="5"/>
  <c r="F360" i="5"/>
  <c r="F364" i="5"/>
  <c r="F368" i="5"/>
  <c r="B369" i="5"/>
  <c r="F369" i="5"/>
  <c r="F373" i="5"/>
  <c r="B375" i="5"/>
  <c r="C375" i="5"/>
  <c r="F375" i="5"/>
  <c r="M7" i="8"/>
  <c r="N7" i="8"/>
  <c r="P7" i="8"/>
  <c r="Q7" i="8"/>
  <c r="S7" i="8"/>
  <c r="C8" i="8"/>
  <c r="H8" i="8"/>
  <c r="I8" i="8"/>
  <c r="M8" i="8"/>
  <c r="N8" i="8"/>
  <c r="P8" i="8"/>
  <c r="Q8" i="8"/>
  <c r="S8" i="8"/>
  <c r="C9" i="8"/>
  <c r="M9" i="8"/>
  <c r="N9" i="8"/>
  <c r="P9" i="8"/>
  <c r="Q9" i="8"/>
  <c r="S9" i="8"/>
  <c r="F10" i="8"/>
  <c r="G10" i="8"/>
  <c r="H10" i="8"/>
  <c r="I10" i="8"/>
  <c r="P10" i="8"/>
  <c r="Q10" i="8"/>
  <c r="R10" i="8"/>
  <c r="S10" i="8"/>
  <c r="F11" i="8"/>
  <c r="G11" i="8"/>
  <c r="H11" i="8"/>
  <c r="I11" i="8"/>
  <c r="P11" i="8"/>
  <c r="Q11" i="8"/>
  <c r="S11" i="8"/>
  <c r="C12" i="8"/>
  <c r="F12" i="8"/>
  <c r="G12" i="8"/>
  <c r="H12" i="8"/>
  <c r="I12" i="8"/>
  <c r="P12" i="8"/>
  <c r="Q12" i="8"/>
  <c r="R12" i="8"/>
  <c r="S12" i="8"/>
  <c r="F13" i="8"/>
  <c r="G13" i="8"/>
  <c r="H13" i="8"/>
  <c r="I13" i="8"/>
  <c r="P13" i="8"/>
  <c r="Q13" i="8"/>
  <c r="R13" i="8"/>
  <c r="S13" i="8"/>
  <c r="F14" i="8"/>
  <c r="G14" i="8"/>
  <c r="H14" i="8"/>
  <c r="I14" i="8"/>
  <c r="P14" i="8"/>
  <c r="Q14" i="8"/>
  <c r="R14" i="8"/>
  <c r="S14" i="8"/>
  <c r="F15" i="8"/>
  <c r="G15" i="8"/>
  <c r="H15" i="8"/>
  <c r="I15" i="8"/>
  <c r="P15" i="8"/>
  <c r="Q15" i="8"/>
  <c r="R15" i="8"/>
  <c r="S15" i="8"/>
  <c r="F16" i="8"/>
  <c r="G16" i="8"/>
  <c r="H16" i="8"/>
  <c r="I16" i="8"/>
  <c r="P16" i="8"/>
  <c r="Q16" i="8"/>
  <c r="R16" i="8"/>
  <c r="S16" i="8"/>
  <c r="F17" i="8"/>
  <c r="G17" i="8"/>
  <c r="H17" i="8"/>
  <c r="I17" i="8"/>
  <c r="P17" i="8"/>
  <c r="Q17" i="8"/>
  <c r="F18" i="8"/>
  <c r="G18" i="8"/>
  <c r="H18" i="8"/>
  <c r="I18" i="8"/>
  <c r="Q18" i="8"/>
  <c r="R18" i="8"/>
  <c r="S18" i="8"/>
  <c r="F19" i="8"/>
  <c r="G19" i="8"/>
  <c r="H19" i="8"/>
  <c r="I19" i="8"/>
  <c r="F20" i="8"/>
  <c r="G20" i="8"/>
  <c r="H20" i="8"/>
  <c r="I20" i="8"/>
  <c r="F21" i="8"/>
  <c r="G21" i="8"/>
  <c r="H21" i="8"/>
  <c r="I21" i="8"/>
  <c r="R21" i="8"/>
  <c r="S21" i="8"/>
  <c r="H22" i="8"/>
  <c r="R22" i="8"/>
  <c r="S22" i="8"/>
  <c r="C23" i="8"/>
  <c r="D23" i="8"/>
  <c r="H23" i="8"/>
  <c r="I23" i="8"/>
  <c r="M23" i="8"/>
  <c r="N23" i="8"/>
  <c r="R23" i="8"/>
  <c r="S23" i="8"/>
  <c r="C26" i="8"/>
  <c r="G30" i="8"/>
  <c r="H30" i="8"/>
  <c r="I30" i="8"/>
  <c r="B31" i="8"/>
  <c r="C31" i="8"/>
  <c r="F31" i="8"/>
  <c r="G31" i="8"/>
  <c r="H31" i="8"/>
  <c r="B32" i="8"/>
  <c r="C32" i="8"/>
  <c r="G32" i="8"/>
  <c r="I32" i="8"/>
  <c r="A33" i="8"/>
  <c r="B33" i="8"/>
  <c r="C33" i="8"/>
  <c r="D33" i="8"/>
  <c r="G33" i="8"/>
  <c r="H33" i="8"/>
  <c r="I33" i="8"/>
  <c r="A34" i="8"/>
  <c r="B34" i="8"/>
  <c r="C34" i="8"/>
  <c r="D34" i="8"/>
  <c r="G34" i="8"/>
  <c r="A35" i="8"/>
  <c r="B35" i="8"/>
  <c r="C35" i="8"/>
  <c r="D35" i="8"/>
  <c r="G35" i="8"/>
  <c r="H35" i="8"/>
  <c r="I35" i="8"/>
  <c r="A36" i="8"/>
  <c r="B36" i="8"/>
  <c r="C36" i="8"/>
  <c r="D36" i="8"/>
  <c r="G36" i="8"/>
  <c r="H36" i="8"/>
  <c r="I36" i="8"/>
  <c r="F37" i="8"/>
  <c r="G37" i="8"/>
  <c r="H37" i="8"/>
  <c r="F38" i="8"/>
  <c r="G38" i="8"/>
  <c r="H38" i="8"/>
  <c r="I38" i="8"/>
  <c r="F39" i="8"/>
  <c r="G39" i="8"/>
  <c r="H39" i="8"/>
  <c r="I39" i="8"/>
  <c r="C41" i="8"/>
  <c r="H41" i="8"/>
  <c r="I41" i="8"/>
  <c r="H42" i="8"/>
  <c r="I43" i="8"/>
  <c r="F7" i="9"/>
  <c r="F10" i="9"/>
  <c r="F11" i="9"/>
  <c r="F16" i="9"/>
  <c r="F19" i="9"/>
  <c r="F21" i="9"/>
  <c r="F25" i="9"/>
  <c r="F26" i="9"/>
  <c r="F32" i="9"/>
  <c r="B34" i="9"/>
  <c r="C34" i="9"/>
  <c r="F34" i="9"/>
  <c r="F39" i="9"/>
  <c r="F41" i="9"/>
  <c r="F43" i="9"/>
  <c r="F44" i="9"/>
  <c r="F50" i="9"/>
  <c r="B54" i="9"/>
  <c r="C54" i="9"/>
  <c r="F54" i="9"/>
  <c r="F55" i="9"/>
  <c r="F56" i="9"/>
  <c r="F61" i="9"/>
  <c r="F63" i="9"/>
  <c r="F77" i="9"/>
  <c r="B78" i="9"/>
  <c r="C78" i="9"/>
  <c r="F78" i="9"/>
  <c r="F80" i="9"/>
  <c r="F81" i="9"/>
  <c r="F82" i="9"/>
  <c r="F83" i="9"/>
  <c r="F87" i="9"/>
  <c r="F101" i="9"/>
  <c r="H103" i="9"/>
  <c r="F118" i="9"/>
  <c r="F122" i="9"/>
  <c r="B123" i="9"/>
  <c r="F123" i="9"/>
  <c r="F127" i="9"/>
  <c r="B130" i="9"/>
  <c r="C130" i="9"/>
  <c r="F130" i="9"/>
  <c r="F132" i="9"/>
  <c r="F133" i="9"/>
  <c r="F134" i="9"/>
  <c r="F135" i="9"/>
  <c r="F140" i="9"/>
  <c r="F144" i="9"/>
  <c r="B148" i="9"/>
  <c r="F148" i="9"/>
  <c r="F150" i="9"/>
  <c r="F151" i="9"/>
  <c r="F154" i="9"/>
  <c r="F156" i="9"/>
  <c r="B157" i="9"/>
  <c r="F157" i="9"/>
  <c r="F164" i="9"/>
  <c r="F171" i="9"/>
  <c r="F173" i="9"/>
  <c r="F174" i="9"/>
  <c r="F176" i="9"/>
  <c r="F177" i="9"/>
  <c r="F182" i="9"/>
  <c r="F185" i="9"/>
  <c r="B188" i="9"/>
  <c r="C188" i="9"/>
  <c r="F188" i="9"/>
  <c r="F193" i="9"/>
  <c r="F195" i="9"/>
  <c r="F200" i="9"/>
  <c r="F215" i="9"/>
  <c r="F219" i="9"/>
  <c r="B220" i="9"/>
  <c r="F220" i="9"/>
  <c r="F229" i="9"/>
  <c r="F230" i="9"/>
  <c r="B231" i="9"/>
  <c r="C231" i="9"/>
  <c r="F231" i="9"/>
  <c r="F237" i="9"/>
  <c r="F241" i="9"/>
  <c r="B242" i="9"/>
  <c r="F242" i="9"/>
  <c r="F249" i="9"/>
  <c r="B250" i="9"/>
  <c r="C250" i="9"/>
  <c r="F250" i="9"/>
  <c r="F254" i="9"/>
  <c r="H254" i="9"/>
  <c r="F256" i="9"/>
  <c r="F258" i="9"/>
  <c r="B259" i="9"/>
  <c r="F259" i="9"/>
  <c r="F266" i="9"/>
  <c r="C268" i="9"/>
  <c r="F268" i="9"/>
  <c r="F269" i="9"/>
  <c r="F270" i="9"/>
  <c r="B279" i="9"/>
  <c r="C279" i="9"/>
  <c r="F279" i="9"/>
  <c r="F283" i="9"/>
  <c r="J291" i="9"/>
  <c r="F292" i="9"/>
  <c r="F293" i="9"/>
  <c r="F319" i="9"/>
  <c r="H321" i="9"/>
  <c r="F329" i="9"/>
  <c r="F332" i="9"/>
  <c r="B335" i="9"/>
  <c r="C335" i="9"/>
  <c r="F335" i="9"/>
  <c r="B336" i="9"/>
  <c r="C336" i="9"/>
  <c r="F336" i="9"/>
  <c r="F338" i="9"/>
  <c r="B339" i="9"/>
  <c r="F339" i="9"/>
  <c r="F345" i="9"/>
  <c r="F346" i="9"/>
  <c r="F348" i="9"/>
  <c r="B350" i="9"/>
  <c r="F352" i="9"/>
  <c r="F354" i="9"/>
  <c r="B355" i="9"/>
  <c r="F355" i="9"/>
  <c r="F359" i="9"/>
  <c r="B361" i="9"/>
  <c r="C361" i="9"/>
  <c r="F361" i="9"/>
  <c r="B2" i="11"/>
  <c r="F10" i="11"/>
  <c r="F14" i="11"/>
  <c r="B15" i="11"/>
  <c r="F15" i="11"/>
  <c r="H26" i="11"/>
  <c r="F40" i="11"/>
  <c r="F44" i="11"/>
  <c r="F45" i="11"/>
  <c r="F52" i="11"/>
  <c r="F60" i="11"/>
  <c r="F62" i="11"/>
  <c r="F65" i="11"/>
  <c r="B66" i="11"/>
  <c r="F66" i="11"/>
  <c r="F74" i="11"/>
  <c r="F76" i="11"/>
  <c r="F77" i="11"/>
  <c r="F79" i="11"/>
  <c r="F82" i="11"/>
  <c r="B83" i="11"/>
  <c r="F83" i="11"/>
  <c r="F101" i="11"/>
  <c r="F105" i="11"/>
  <c r="F106" i="11"/>
  <c r="F115" i="11"/>
  <c r="F130" i="11"/>
  <c r="B131" i="11"/>
  <c r="F131" i="11"/>
  <c r="F138" i="11"/>
  <c r="F142" i="11"/>
  <c r="F143" i="11"/>
  <c r="F148" i="11"/>
  <c r="F155" i="11"/>
  <c r="B156" i="11"/>
  <c r="F156" i="11"/>
  <c r="F161" i="11"/>
  <c r="F163" i="11"/>
  <c r="F164" i="11"/>
  <c r="F167" i="11"/>
  <c r="F170" i="11"/>
  <c r="B171" i="11"/>
  <c r="F171" i="11"/>
  <c r="H177" i="11"/>
  <c r="F185" i="11"/>
  <c r="F188" i="11"/>
  <c r="J189" i="11"/>
  <c r="J190" i="11"/>
  <c r="F193" i="11"/>
  <c r="B194" i="11"/>
  <c r="F194" i="11"/>
  <c r="I195" i="11"/>
  <c r="F199" i="11"/>
  <c r="F204" i="11"/>
  <c r="B205" i="11"/>
  <c r="F205" i="11"/>
  <c r="B209" i="11"/>
  <c r="H209" i="11"/>
  <c r="F211" i="11"/>
  <c r="F213" i="11"/>
  <c r="F214" i="11"/>
  <c r="F217" i="11"/>
  <c r="F222" i="11"/>
  <c r="B223" i="11"/>
  <c r="F223" i="11"/>
  <c r="F234" i="11"/>
  <c r="F236" i="11"/>
  <c r="F238" i="11"/>
  <c r="D239" i="11"/>
  <c r="F239" i="11"/>
  <c r="F243" i="11"/>
  <c r="B245" i="11"/>
  <c r="F245" i="11"/>
  <c r="A13" i="6"/>
  <c r="G13" i="6"/>
  <c r="H13" i="6"/>
  <c r="I13" i="6"/>
  <c r="J13" i="6"/>
  <c r="B15" i="6"/>
  <c r="E15" i="6"/>
  <c r="A16" i="6"/>
  <c r="E16" i="6"/>
  <c r="F16" i="6"/>
  <c r="H16" i="6"/>
  <c r="I16" i="6"/>
  <c r="J16" i="6"/>
  <c r="K16" i="6"/>
  <c r="A17" i="6"/>
  <c r="E17" i="6"/>
  <c r="F17" i="6"/>
  <c r="H17" i="6"/>
  <c r="K17" i="6"/>
  <c r="E18" i="6"/>
  <c r="F18" i="6"/>
  <c r="G18" i="6"/>
  <c r="H18" i="6"/>
  <c r="K18" i="6"/>
  <c r="E19" i="6"/>
  <c r="F19" i="6"/>
  <c r="H19" i="6"/>
  <c r="I19" i="6"/>
  <c r="J19" i="6"/>
  <c r="K19" i="6"/>
  <c r="E20" i="6"/>
  <c r="F20" i="6"/>
  <c r="H20" i="6"/>
  <c r="K20" i="6"/>
  <c r="E21" i="6"/>
  <c r="F21" i="6"/>
  <c r="H21" i="6"/>
  <c r="I21" i="6"/>
  <c r="J21" i="6"/>
  <c r="K21" i="6"/>
  <c r="A22" i="6"/>
  <c r="E22" i="6"/>
  <c r="F22" i="6"/>
  <c r="H22" i="6"/>
  <c r="I22" i="6"/>
  <c r="J22" i="6"/>
  <c r="K22" i="6"/>
  <c r="A23" i="6"/>
  <c r="B23" i="6"/>
  <c r="E23" i="6"/>
  <c r="F23" i="6"/>
  <c r="H23" i="6"/>
  <c r="I23" i="6"/>
  <c r="J23" i="6"/>
  <c r="K23" i="6"/>
  <c r="E24" i="6"/>
  <c r="F24" i="6"/>
  <c r="H24" i="6"/>
  <c r="I24" i="6"/>
  <c r="J24" i="6"/>
  <c r="K24" i="6"/>
  <c r="E25" i="6"/>
  <c r="F25" i="6"/>
  <c r="H25" i="6"/>
  <c r="K25" i="6"/>
  <c r="A26" i="6"/>
  <c r="E26" i="6"/>
  <c r="F26" i="6"/>
  <c r="H26" i="6"/>
  <c r="I26" i="6"/>
  <c r="J26" i="6"/>
  <c r="K26" i="6"/>
  <c r="E27" i="6"/>
  <c r="H27" i="6"/>
  <c r="I27" i="6"/>
  <c r="J27" i="6"/>
  <c r="K27" i="6"/>
  <c r="H28" i="6"/>
  <c r="I28" i="6"/>
  <c r="J28" i="6"/>
  <c r="A29" i="6"/>
  <c r="G29" i="6"/>
  <c r="K29" i="6"/>
  <c r="C30" i="6"/>
  <c r="G30" i="6"/>
  <c r="H30" i="6"/>
  <c r="I30" i="6"/>
  <c r="J30" i="6"/>
  <c r="K30" i="6"/>
  <c r="C32" i="6"/>
  <c r="H32" i="6"/>
  <c r="A33" i="6"/>
  <c r="C34" i="6"/>
  <c r="C36" i="6"/>
  <c r="H5" i="12"/>
  <c r="M7" i="12"/>
  <c r="N7" i="12"/>
  <c r="C8" i="12"/>
  <c r="H8" i="12"/>
  <c r="I8" i="12"/>
  <c r="M8" i="12"/>
  <c r="N8" i="12"/>
  <c r="C9" i="12"/>
  <c r="M9" i="12"/>
  <c r="N9" i="12"/>
  <c r="F10" i="12"/>
  <c r="G10" i="12"/>
  <c r="H10" i="12"/>
  <c r="I10" i="12"/>
  <c r="P10" i="12"/>
  <c r="Q10" i="12"/>
  <c r="R10" i="12"/>
  <c r="S10" i="12"/>
  <c r="F11" i="12"/>
  <c r="G11" i="12"/>
  <c r="H11" i="12"/>
  <c r="I11" i="12"/>
  <c r="P11" i="12"/>
  <c r="Q11" i="12"/>
  <c r="R11" i="12"/>
  <c r="S11" i="12"/>
  <c r="C12" i="12"/>
  <c r="F12" i="12"/>
  <c r="G12" i="12"/>
  <c r="H12" i="12"/>
  <c r="I12" i="12"/>
  <c r="P12" i="12"/>
  <c r="Q12" i="12"/>
  <c r="R12" i="12"/>
  <c r="S12" i="12"/>
  <c r="F13" i="12"/>
  <c r="G13" i="12"/>
  <c r="H13" i="12"/>
  <c r="I13" i="12"/>
  <c r="P13" i="12"/>
  <c r="Q13" i="12"/>
  <c r="R13" i="12"/>
  <c r="S13" i="12"/>
  <c r="F14" i="12"/>
  <c r="G14" i="12"/>
  <c r="H14" i="12"/>
  <c r="I14" i="12"/>
  <c r="P14" i="12"/>
  <c r="Q14" i="12"/>
  <c r="R14" i="12"/>
  <c r="S14" i="12"/>
  <c r="F15" i="12"/>
  <c r="G15" i="12"/>
  <c r="H15" i="12"/>
  <c r="I15" i="12"/>
  <c r="P15" i="12"/>
  <c r="Q15" i="12"/>
  <c r="R15" i="12"/>
  <c r="S15" i="12"/>
  <c r="F16" i="12"/>
  <c r="G16" i="12"/>
  <c r="H16" i="12"/>
  <c r="I16" i="12"/>
  <c r="P16" i="12"/>
  <c r="Q16" i="12"/>
  <c r="R16" i="12"/>
  <c r="F17" i="12"/>
  <c r="G17" i="12"/>
  <c r="H17" i="12"/>
  <c r="I17" i="12"/>
  <c r="P17" i="12"/>
  <c r="Q17" i="12"/>
  <c r="R17" i="12"/>
  <c r="S17" i="12"/>
  <c r="F18" i="12"/>
  <c r="G18" i="12"/>
  <c r="H18" i="12"/>
  <c r="R21" i="12"/>
  <c r="S21" i="12"/>
  <c r="R22" i="12"/>
  <c r="S22" i="12"/>
  <c r="C23" i="12"/>
  <c r="D23" i="12"/>
  <c r="H23" i="12"/>
  <c r="I23" i="12"/>
  <c r="M23" i="12"/>
  <c r="N23" i="12"/>
  <c r="R23" i="12"/>
  <c r="S23" i="12"/>
  <c r="D26" i="12"/>
  <c r="H28" i="12"/>
  <c r="H34" i="12"/>
  <c r="C35" i="12"/>
  <c r="H35" i="12"/>
  <c r="C36" i="12"/>
  <c r="H36" i="12"/>
  <c r="C37" i="12"/>
  <c r="H37" i="12"/>
  <c r="C38" i="12"/>
  <c r="H38" i="12"/>
  <c r="C39" i="12"/>
  <c r="H39" i="12"/>
  <c r="C40" i="12"/>
  <c r="F40" i="12"/>
  <c r="H40" i="12"/>
  <c r="C41" i="12"/>
  <c r="C45" i="12"/>
  <c r="D45" i="12"/>
  <c r="H45" i="12"/>
  <c r="I45" i="12"/>
  <c r="H46" i="12"/>
  <c r="I47" i="12"/>
  <c r="G26" i="15"/>
  <c r="H39" i="15"/>
  <c r="J40" i="15"/>
  <c r="J41" i="15"/>
  <c r="F44" i="15"/>
  <c r="B45" i="15"/>
  <c r="F45" i="15"/>
  <c r="I46" i="15"/>
  <c r="F51" i="15"/>
  <c r="B52" i="15"/>
  <c r="F52" i="15"/>
  <c r="B2" i="13"/>
  <c r="B11" i="13"/>
  <c r="F11" i="13"/>
  <c r="E12" i="13"/>
  <c r="F18" i="13"/>
  <c r="F33" i="13"/>
  <c r="F35" i="13"/>
  <c r="B36" i="13"/>
  <c r="F36" i="13"/>
  <c r="F42" i="13"/>
  <c r="F45" i="13"/>
  <c r="F48" i="13"/>
  <c r="B49" i="13"/>
  <c r="F49" i="13"/>
  <c r="F91" i="13"/>
  <c r="F97" i="13"/>
  <c r="B98" i="13"/>
  <c r="F98" i="13"/>
  <c r="F115" i="13"/>
  <c r="F119" i="13"/>
  <c r="B120" i="13"/>
  <c r="F120" i="13"/>
  <c r="F133" i="13"/>
  <c r="F134" i="13"/>
  <c r="F136" i="13"/>
  <c r="B137" i="13"/>
  <c r="F165" i="13"/>
  <c r="F168" i="13"/>
  <c r="B169" i="13"/>
  <c r="F169" i="13"/>
  <c r="F190" i="13"/>
  <c r="F195" i="13"/>
  <c r="B196" i="13"/>
  <c r="F196" i="13"/>
  <c r="F202" i="13"/>
  <c r="F203" i="13"/>
  <c r="F205" i="13"/>
  <c r="F207" i="13"/>
  <c r="F209" i="13"/>
  <c r="F211" i="13"/>
  <c r="B7" i="14"/>
  <c r="A10" i="14"/>
  <c r="G10" i="14"/>
  <c r="H10" i="14"/>
  <c r="I10" i="14"/>
  <c r="J10" i="14"/>
  <c r="B12" i="14"/>
  <c r="E12" i="14"/>
  <c r="A13" i="14"/>
  <c r="H13" i="14"/>
  <c r="I13" i="14"/>
  <c r="J13" i="14"/>
  <c r="K13" i="14"/>
  <c r="A14" i="14"/>
  <c r="C14" i="14"/>
  <c r="E14" i="14"/>
  <c r="F14" i="14"/>
  <c r="H14" i="14"/>
  <c r="I14" i="14"/>
  <c r="K14" i="14"/>
  <c r="E15" i="14"/>
  <c r="F15" i="14"/>
  <c r="H15" i="14"/>
  <c r="I15" i="14"/>
  <c r="J15" i="14"/>
  <c r="K15" i="14"/>
  <c r="E16" i="14"/>
  <c r="F16" i="14"/>
  <c r="H16" i="14"/>
  <c r="I16" i="14"/>
  <c r="J16" i="14"/>
  <c r="K16" i="14"/>
  <c r="E17" i="14"/>
  <c r="F17" i="14"/>
  <c r="H17" i="14"/>
  <c r="I17" i="14"/>
  <c r="J17" i="14"/>
  <c r="K17" i="14"/>
  <c r="E18" i="14"/>
  <c r="H18" i="14"/>
  <c r="I18" i="14"/>
  <c r="J18" i="14"/>
  <c r="K18" i="14"/>
  <c r="A19" i="14"/>
  <c r="C19" i="14"/>
  <c r="E19" i="14"/>
  <c r="H19" i="14"/>
  <c r="I19" i="14"/>
  <c r="J19" i="14"/>
  <c r="K19" i="14"/>
  <c r="A20" i="14"/>
  <c r="B20" i="14"/>
  <c r="E20" i="14"/>
  <c r="H20" i="14"/>
  <c r="I20" i="14"/>
  <c r="J20" i="14"/>
  <c r="K20" i="14"/>
  <c r="A26" i="14"/>
  <c r="G26" i="14"/>
  <c r="I26" i="14"/>
  <c r="K26" i="14"/>
  <c r="C27" i="14"/>
  <c r="G27" i="14"/>
  <c r="H27" i="14"/>
  <c r="I27" i="14"/>
  <c r="J27" i="14"/>
  <c r="K27" i="14"/>
  <c r="C29" i="14"/>
  <c r="I29" i="14"/>
  <c r="A30" i="14"/>
  <c r="C31" i="14"/>
  <c r="C33" i="14"/>
  <c r="C8" i="16"/>
  <c r="D8" i="16"/>
  <c r="H8" i="16"/>
  <c r="I8" i="16"/>
  <c r="C9" i="16"/>
  <c r="D9" i="16"/>
  <c r="F10" i="16"/>
  <c r="G10" i="16"/>
  <c r="H10" i="16"/>
  <c r="I10" i="16"/>
  <c r="F11" i="16"/>
  <c r="G11" i="16"/>
  <c r="H11" i="16"/>
  <c r="I11" i="16"/>
  <c r="C12" i="16"/>
  <c r="D12" i="16"/>
  <c r="F12" i="16"/>
  <c r="G12" i="16"/>
  <c r="H12" i="16"/>
  <c r="I12" i="16"/>
  <c r="F13" i="16"/>
  <c r="G13" i="16"/>
  <c r="H13" i="16"/>
  <c r="I13" i="16"/>
  <c r="F14" i="16"/>
  <c r="G14" i="16"/>
  <c r="H14" i="16"/>
  <c r="I14" i="16"/>
  <c r="F15" i="16"/>
  <c r="G15" i="16"/>
  <c r="H15" i="16"/>
  <c r="I15" i="16"/>
  <c r="F16" i="16"/>
  <c r="G16" i="16"/>
  <c r="H16" i="16"/>
  <c r="I16" i="16"/>
  <c r="F17" i="16"/>
  <c r="G17" i="16"/>
  <c r="H17" i="16"/>
  <c r="I17" i="16"/>
  <c r="F18" i="16"/>
  <c r="G18" i="16"/>
  <c r="H18" i="16"/>
  <c r="I18" i="16"/>
  <c r="K21" i="16"/>
  <c r="C23" i="16"/>
  <c r="D23" i="16"/>
  <c r="H23" i="16"/>
  <c r="I23" i="16"/>
  <c r="D26" i="16"/>
  <c r="I34" i="16"/>
  <c r="D35" i="16"/>
  <c r="I35" i="16"/>
  <c r="D36" i="16"/>
  <c r="I36" i="16"/>
  <c r="F37" i="16"/>
  <c r="C38" i="16"/>
  <c r="D38" i="16"/>
  <c r="I38" i="16"/>
  <c r="C39" i="16"/>
  <c r="D39" i="16"/>
  <c r="I39" i="16"/>
  <c r="D41" i="16"/>
  <c r="I41" i="16"/>
  <c r="C42" i="16"/>
  <c r="D42" i="16"/>
  <c r="F42" i="16"/>
  <c r="I42" i="16"/>
  <c r="C43" i="16"/>
  <c r="D43" i="16"/>
  <c r="C45" i="16"/>
  <c r="C47" i="16"/>
  <c r="D47" i="16"/>
  <c r="I47" i="16"/>
  <c r="H48" i="16"/>
  <c r="F58" i="16"/>
  <c r="I49" i="16"/>
  <c r="K51" i="16"/>
  <c r="K52" i="16"/>
  <c r="K53" i="16"/>
  <c r="K55" i="16"/>
  <c r="K56" i="16"/>
  <c r="K57" i="16"/>
  <c r="M57" i="16"/>
  <c r="H58" i="16"/>
  <c r="M58" i="16"/>
  <c r="B2" i="17"/>
  <c r="B85" i="17"/>
  <c r="F11" i="17"/>
  <c r="F26" i="17"/>
  <c r="F29" i="17"/>
  <c r="F28" i="17"/>
  <c r="F36" i="17"/>
  <c r="F43" i="17"/>
  <c r="I12" i="18"/>
  <c r="F46" i="17"/>
  <c r="B47" i="17"/>
  <c r="F66" i="17"/>
  <c r="F72" i="17"/>
  <c r="F79" i="17"/>
  <c r="F84" i="17"/>
  <c r="J14" i="18"/>
  <c r="F93" i="17"/>
  <c r="J16" i="18"/>
  <c r="B100" i="17"/>
  <c r="B103" i="17"/>
  <c r="F116" i="17"/>
  <c r="I18" i="18"/>
  <c r="F120" i="17"/>
  <c r="F139" i="17"/>
  <c r="F144" i="17"/>
  <c r="F159" i="17"/>
  <c r="I20" i="18"/>
  <c r="F175" i="17"/>
  <c r="F182" i="17"/>
  <c r="F183" i="17"/>
  <c r="F187" i="17"/>
  <c r="F189" i="17"/>
  <c r="F195" i="17"/>
  <c r="G8" i="18"/>
  <c r="H8" i="18"/>
  <c r="I8" i="18"/>
  <c r="J8" i="18"/>
  <c r="B10" i="18"/>
  <c r="E10" i="18"/>
  <c r="A11" i="18"/>
  <c r="E12" i="18"/>
  <c r="F12" i="18"/>
  <c r="J12" i="18"/>
  <c r="H13" i="18"/>
  <c r="E14" i="18"/>
  <c r="F14" i="18"/>
  <c r="I14" i="18"/>
  <c r="E16" i="18"/>
  <c r="F16" i="18"/>
  <c r="K16" i="18"/>
  <c r="K17" i="18"/>
  <c r="E18" i="18"/>
  <c r="F18" i="18"/>
  <c r="J18" i="18"/>
  <c r="K18" i="18"/>
  <c r="E20" i="18"/>
  <c r="F20" i="18"/>
  <c r="J20" i="18"/>
  <c r="K20" i="18"/>
  <c r="C25" i="18"/>
  <c r="F73" i="17"/>
  <c r="K14" i="18"/>
  <c r="I16" i="18"/>
  <c r="B195" i="17"/>
  <c r="B121" i="17"/>
  <c r="F121" i="17"/>
  <c r="F85" i="17"/>
  <c r="I25" i="18"/>
  <c r="H18" i="18"/>
  <c r="H40" i="19"/>
  <c r="H8" i="19"/>
  <c r="H14" i="18"/>
  <c r="A17" i="18"/>
  <c r="H20" i="18"/>
  <c r="K24" i="18"/>
  <c r="G24" i="18"/>
  <c r="H16" i="18"/>
  <c r="J25" i="18"/>
  <c r="K12" i="18"/>
  <c r="F47" i="17"/>
  <c r="F100" i="17"/>
  <c r="F176" i="17"/>
  <c r="A21" i="18"/>
  <c r="B18" i="18"/>
  <c r="A12" i="18"/>
  <c r="G25" i="18"/>
  <c r="C29" i="18"/>
  <c r="H12" i="18"/>
  <c r="K25" i="18"/>
  <c r="A18" i="18"/>
  <c r="A24" i="18"/>
  <c r="B13" i="18"/>
  <c r="H25" i="18"/>
  <c r="C27" i="18"/>
  <c r="C31" i="18"/>
  <c r="C33" i="18"/>
  <c r="I41" i="23"/>
  <c r="B108" i="20"/>
  <c r="B182" i="20"/>
  <c r="B227" i="20"/>
  <c r="C39" i="25" l="1"/>
  <c r="I25" i="27"/>
  <c r="J25" i="27"/>
  <c r="F271" i="20"/>
  <c r="I20" i="22"/>
  <c r="I25" i="22" s="1"/>
  <c r="F27" i="26"/>
  <c r="K12" i="27" s="1"/>
  <c r="F72" i="26"/>
  <c r="K16" i="27" s="1"/>
  <c r="F45" i="26"/>
  <c r="F176" i="26"/>
  <c r="F105" i="26"/>
  <c r="F142" i="26"/>
  <c r="K20" i="27" s="1"/>
  <c r="F124" i="20"/>
  <c r="F136" i="20" s="1"/>
  <c r="F149" i="20" s="1"/>
  <c r="F217" i="20"/>
  <c r="F227" i="20" s="1"/>
  <c r="H18" i="23" s="1"/>
  <c r="F82" i="20"/>
  <c r="F95" i="20" s="1"/>
  <c r="I13" i="24" s="1"/>
  <c r="F163" i="20"/>
  <c r="F182" i="20" s="1"/>
  <c r="C39" i="23"/>
  <c r="G24" i="22"/>
  <c r="C29" i="22" s="1"/>
  <c r="F24" i="20"/>
  <c r="F43" i="20" s="1"/>
  <c r="F64" i="20" s="1"/>
  <c r="C34" i="24"/>
  <c r="C39" i="24" s="1"/>
  <c r="I14" i="24"/>
  <c r="H18" i="24"/>
  <c r="H33" i="24"/>
  <c r="I37" i="24"/>
  <c r="H36" i="24"/>
  <c r="H38" i="24"/>
  <c r="H36" i="23"/>
  <c r="H39" i="23" s="1"/>
  <c r="H34" i="24"/>
  <c r="H39" i="25"/>
  <c r="C20" i="25"/>
  <c r="D22" i="25" s="1"/>
  <c r="D9" i="24"/>
  <c r="J43" i="4"/>
  <c r="J46" i="4" s="1"/>
  <c r="J8" i="4"/>
  <c r="J25" i="22"/>
  <c r="F54" i="26" l="1"/>
  <c r="K14" i="27"/>
  <c r="F114" i="26"/>
  <c r="K18" i="27"/>
  <c r="F196" i="26"/>
  <c r="K24" i="27"/>
  <c r="H40" i="25"/>
  <c r="H25" i="25" s="1"/>
  <c r="H20" i="25"/>
  <c r="H8" i="25" s="1"/>
  <c r="H20" i="22"/>
  <c r="F157" i="26"/>
  <c r="H20" i="27"/>
  <c r="F80" i="26"/>
  <c r="H16" i="27"/>
  <c r="H12" i="27"/>
  <c r="K16" i="22"/>
  <c r="H16" i="22" s="1"/>
  <c r="K18" i="22"/>
  <c r="H18" i="22" s="1"/>
  <c r="H17" i="24" s="1"/>
  <c r="I17" i="24"/>
  <c r="F108" i="20"/>
  <c r="H13" i="24" s="1"/>
  <c r="D12" i="24"/>
  <c r="D20" i="24" s="1"/>
  <c r="I20" i="24" s="1"/>
  <c r="K14" i="22"/>
  <c r="H14" i="22" s="1"/>
  <c r="H13" i="23" s="1"/>
  <c r="H37" i="24"/>
  <c r="H39" i="24" s="1"/>
  <c r="H40" i="24" s="1"/>
  <c r="K12" i="22"/>
  <c r="H12" i="22" s="1"/>
  <c r="H11" i="23" s="1"/>
  <c r="I11" i="24"/>
  <c r="H40" i="23"/>
  <c r="H11" i="24"/>
  <c r="A12" i="22"/>
  <c r="C9" i="24" s="1"/>
  <c r="H14" i="23"/>
  <c r="H14" i="24"/>
  <c r="C12" i="27" l="1"/>
  <c r="A5" i="27" s="1"/>
  <c r="H18" i="27"/>
  <c r="H14" i="27"/>
  <c r="C17" i="27"/>
  <c r="H17" i="23"/>
  <c r="K25" i="27"/>
  <c r="A17" i="22"/>
  <c r="C12" i="23" s="1"/>
  <c r="K25" i="22"/>
  <c r="H25" i="22"/>
  <c r="G25" i="22" s="1"/>
  <c r="G26" i="22" s="1"/>
  <c r="I8" i="24"/>
  <c r="C9" i="23"/>
  <c r="A7" i="22"/>
  <c r="B19" i="22"/>
  <c r="A18" i="22"/>
  <c r="A25" i="22" s="1"/>
  <c r="H25" i="27" l="1"/>
  <c r="G26" i="27" s="1"/>
  <c r="C27" i="27"/>
  <c r="C25" i="27"/>
  <c r="C12" i="24"/>
  <c r="C20" i="24" s="1"/>
  <c r="D24" i="24" s="1"/>
  <c r="H49" i="24" s="1"/>
  <c r="C20" i="23"/>
  <c r="H20" i="23" s="1"/>
  <c r="C27" i="22"/>
  <c r="C31" i="22" s="1"/>
  <c r="C33" i="22" s="1"/>
  <c r="C29" i="27" l="1"/>
  <c r="C31" i="27" s="1"/>
  <c r="H20" i="24"/>
  <c r="H8" i="24" s="1"/>
  <c r="D22" i="23"/>
  <c r="H25" i="23" s="1"/>
  <c r="K20" i="23"/>
  <c r="H8" i="23"/>
</calcChain>
</file>

<file path=xl/sharedStrings.xml><?xml version="1.0" encoding="utf-8"?>
<sst xmlns="http://schemas.openxmlformats.org/spreadsheetml/2006/main" count="3484" uniqueCount="751">
  <si>
    <t>Themamiddagen (Strix Aluco)</t>
  </si>
  <si>
    <t>Banksaldo Tuinwerkgroep</t>
  </si>
  <si>
    <t>Saldo</t>
  </si>
  <si>
    <t>themamiddag kerst 2007</t>
  </si>
  <si>
    <t>C.van Kruysbergen/</t>
  </si>
  <si>
    <t>Onvangsten</t>
  </si>
  <si>
    <t>Themamiddag</t>
  </si>
  <si>
    <t xml:space="preserve">themamiddag </t>
  </si>
  <si>
    <t>Borden tuin</t>
  </si>
  <si>
    <t>themamiddag</t>
  </si>
  <si>
    <t>Stg Strix Aluco</t>
  </si>
  <si>
    <t>Algemene publieksactiviteiten/</t>
  </si>
  <si>
    <t>Opendag Jurassic in Polderland</t>
  </si>
  <si>
    <t>Stg Strix Aluco(laatste termijn)</t>
  </si>
  <si>
    <t>Themamiddag kerst</t>
  </si>
  <si>
    <t>Themamiddagbraakballen</t>
  </si>
  <si>
    <t>Bijdrage tentoonstelling</t>
  </si>
  <si>
    <t>Themamiddag vleermuiskasten</t>
  </si>
  <si>
    <t>Bijdrage tentoonst.Over nachten</t>
  </si>
  <si>
    <t>Rente 2011</t>
  </si>
  <si>
    <t>Rente 2012</t>
  </si>
  <si>
    <t>Workshop vindsels</t>
  </si>
  <si>
    <t>Rente 2013</t>
  </si>
  <si>
    <t>SC Johnson Europlant tbv aanpassen tuin</t>
  </si>
  <si>
    <t>Ontvangen</t>
  </si>
  <si>
    <t>Aankopen Anouk</t>
  </si>
  <si>
    <t>Voorschot Susan</t>
  </si>
  <si>
    <t>De Huifkar/vijverbakken</t>
  </si>
  <si>
    <t>Daglish Klus/tbv tuin</t>
  </si>
  <si>
    <t>Themamiddag Kerst</t>
  </si>
  <si>
    <t>De Huifkar/turfstrooisel</t>
  </si>
  <si>
    <t>Themamiddagen</t>
  </si>
  <si>
    <t>rente 2014</t>
  </si>
  <si>
    <t>Themamiddag vogels</t>
  </si>
  <si>
    <t>Themamiddag fossielen</t>
  </si>
  <si>
    <t>Aankoop planten</t>
  </si>
  <si>
    <t>Picknicktafel</t>
  </si>
  <si>
    <t>VDE/gaas</t>
  </si>
  <si>
    <t>Bouwmaterialen</t>
  </si>
  <si>
    <t>Donatie Stg Facta non Verba</t>
  </si>
  <si>
    <t>Uitgaven 2013</t>
  </si>
  <si>
    <t>Bankkosten 2014</t>
  </si>
  <si>
    <t>div data</t>
  </si>
  <si>
    <t>Uittreksel KvK</t>
  </si>
  <si>
    <t>Vergaderkosten</t>
  </si>
  <si>
    <t>Donatie  St Ronde venen Fonds</t>
  </si>
  <si>
    <t>Donatie INV</t>
  </si>
  <si>
    <t>Uitgaven 2014</t>
  </si>
  <si>
    <t>Overzicht van projecten</t>
  </si>
  <si>
    <t>blad 1</t>
  </si>
  <si>
    <t>Rente 2015</t>
  </si>
  <si>
    <t>De Huifkar /planten heesters</t>
  </si>
  <si>
    <t>in groen uitgaven 2015 en saldi 21 oktober 2015</t>
  </si>
  <si>
    <t>Saldo 21 oktober 2015</t>
  </si>
  <si>
    <t>bankkosten tot 15 mei 2015</t>
  </si>
  <si>
    <t>Kraakhelder producties</t>
  </si>
  <si>
    <t>bankkosten ABNAMRO</t>
  </si>
  <si>
    <t>t/m 31 okt 2015</t>
  </si>
  <si>
    <t>Tafelzeilonline</t>
  </si>
  <si>
    <t>rente</t>
  </si>
  <si>
    <t>Saldo 31 dec 2015</t>
  </si>
  <si>
    <t>Saldo 31 december 2015</t>
  </si>
  <si>
    <t>Geen mutaties</t>
  </si>
  <si>
    <t>Rente 2016</t>
  </si>
  <si>
    <t>Saldo 24  mei 2016</t>
  </si>
  <si>
    <t>blad 2</t>
  </si>
  <si>
    <t>2016 tot 24 mei geen uitgaven</t>
  </si>
  <si>
    <t>bankkosten</t>
  </si>
  <si>
    <t>Saldo 24 mei 2016</t>
  </si>
  <si>
    <t>Overzichten projecten 2016</t>
  </si>
  <si>
    <t>RABO rek NL33RABO36336853244</t>
  </si>
  <si>
    <t>RABO rek NL46RABO0302755918  (1)</t>
  </si>
  <si>
    <t xml:space="preserve">*Te besteden voor tuin </t>
  </si>
  <si>
    <t>RABO rek NL55RABO3633685316</t>
  </si>
  <si>
    <t>*Te besteden voor algemene publieksact.</t>
  </si>
  <si>
    <t>*Reservering diversen</t>
  </si>
  <si>
    <t>*Te besteden voor tentoonstelling</t>
  </si>
  <si>
    <t>*Te besteden herinrichting ruimte</t>
  </si>
  <si>
    <t>*Te besteden 50 dingen boekje</t>
  </si>
  <si>
    <t>totaal</t>
  </si>
  <si>
    <t>Uitgaven /inkomsten 2016</t>
  </si>
  <si>
    <t>Uitgaven/inkomsten 2016</t>
  </si>
  <si>
    <t>geen</t>
  </si>
  <si>
    <t>50 dingen boekje</t>
  </si>
  <si>
    <t>saldo</t>
  </si>
  <si>
    <t>donatie</t>
  </si>
  <si>
    <t>Stichting Ronde Venen</t>
  </si>
  <si>
    <t>Rabo Dichtbij Fonds</t>
  </si>
  <si>
    <t>Basis onderwijs</t>
  </si>
  <si>
    <t>Donatie St. De Ronde Venen</t>
  </si>
  <si>
    <t>donatie stichting gebiedsontw. DRV</t>
  </si>
  <si>
    <t>Rotary Vinkeveen</t>
  </si>
  <si>
    <t>Donatie Rotary Vinkenveen</t>
  </si>
  <si>
    <t>Oranje Fonds/NL doet</t>
  </si>
  <si>
    <t>Donatie Oranje Fonds</t>
  </si>
  <si>
    <t>Herinrichting Ruimte</t>
  </si>
  <si>
    <t>zie eindafrekening PB CultF</t>
  </si>
  <si>
    <t>Subsidie Pr.Bernh.Cult.Fonds</t>
  </si>
  <si>
    <t>Totaal beschikbaar</t>
  </si>
  <si>
    <t>Uitgaven/projecten</t>
  </si>
  <si>
    <t>inkomsten</t>
  </si>
  <si>
    <t>uitgaven</t>
  </si>
  <si>
    <t>vrij beschikbaar</t>
  </si>
  <si>
    <t>*Rotary Vinkeveen</t>
  </si>
  <si>
    <t>*Stichting Doen/Oranjefonds</t>
  </si>
  <si>
    <t>opmerkingen</t>
  </si>
  <si>
    <t>restant nieuw tuinbord 183,23</t>
  </si>
  <si>
    <t>*Basisonderwijs/st. Ronde Venen fonds</t>
  </si>
  <si>
    <t>SC Johnson/ aanpassen tuin</t>
  </si>
  <si>
    <t>nr. 2</t>
  </si>
  <si>
    <t>nr.1</t>
  </si>
  <si>
    <t>nr.3</t>
  </si>
  <si>
    <t>nr.4</t>
  </si>
  <si>
    <t>nr.5</t>
  </si>
  <si>
    <t>nr.6</t>
  </si>
  <si>
    <t>nr.7</t>
  </si>
  <si>
    <t>nr.8</t>
  </si>
  <si>
    <t>nr.9</t>
  </si>
  <si>
    <t>nr.10</t>
  </si>
  <si>
    <t>nr.11</t>
  </si>
  <si>
    <t>Van Walravenfonds</t>
  </si>
  <si>
    <t>*25 jarig bestaan</t>
  </si>
  <si>
    <t>25 jarig bestaan</t>
  </si>
  <si>
    <t>Cael Mengermanfonds</t>
  </si>
  <si>
    <t>Creamore</t>
  </si>
  <si>
    <t>geen mutaties</t>
  </si>
  <si>
    <t>Declaratie A Woltman</t>
  </si>
  <si>
    <t>Jessicaas/20160077</t>
  </si>
  <si>
    <t>Stichting Buitenmakelaar/2016-lp-01</t>
  </si>
  <si>
    <t xml:space="preserve">sp.rek </t>
  </si>
  <si>
    <t>NL33 RABO 3633 6853 24</t>
  </si>
  <si>
    <t>Spaarrekening NL55 RABO 3633 6583 16</t>
  </si>
  <si>
    <t>spaarrekening</t>
  </si>
  <si>
    <t>nieuw tuinbord 316,73 restant tuin</t>
  </si>
  <si>
    <t>bankkosten en rente 7,78</t>
  </si>
  <si>
    <t>Diner Cards proj.gr. Leden</t>
  </si>
  <si>
    <t>Ecodrukkers</t>
  </si>
  <si>
    <t>De grote Sniep</t>
  </si>
  <si>
    <t>present 50 dingen boekje</t>
  </si>
  <si>
    <t>totaal uitgaven</t>
  </si>
  <si>
    <t>Vrij besteedbaar</t>
  </si>
  <si>
    <t>nr 12</t>
  </si>
  <si>
    <t>NME WOUDREUS</t>
  </si>
  <si>
    <t>Loyals om line</t>
  </si>
  <si>
    <t>Declaratie Ester</t>
  </si>
  <si>
    <t>Heutink</t>
  </si>
  <si>
    <t>Gebiedscommissie</t>
  </si>
  <si>
    <t>.. -11-2016</t>
  </si>
  <si>
    <t>diversen/Walraven 2500,-/KarlNenger.1500,-/gebiedscom 10.000 en 950</t>
  </si>
  <si>
    <t>negatief vermogen 31 dec 2015</t>
  </si>
  <si>
    <t>Saldo 1 dec 2016</t>
  </si>
  <si>
    <t>Tot. Inkomsten 2016  tot 1 dec 2016</t>
  </si>
  <si>
    <t>Saldo 1 dec  2016</t>
  </si>
  <si>
    <t>stimuler.bijdr NME ODRU</t>
  </si>
  <si>
    <t>bijdrage leskist water,etc, ODRU</t>
  </si>
  <si>
    <t>Afsluitend etentje C.v.Kruysbergen</t>
  </si>
  <si>
    <t>Jessica,s 20160083</t>
  </si>
  <si>
    <t>totaal uitgaven tot 20 dec 2016</t>
  </si>
  <si>
    <t>Financieel overzicht per</t>
  </si>
  <si>
    <t>per</t>
  </si>
  <si>
    <t>gereserveerd</t>
  </si>
  <si>
    <t>tot</t>
  </si>
  <si>
    <t>Banksaldi per</t>
  </si>
  <si>
    <t>vrije ruimte</t>
  </si>
  <si>
    <t>verkoop 50 dingenboekje</t>
  </si>
  <si>
    <t>RABO rek NL55RABO3633685316 (2)</t>
  </si>
  <si>
    <t>(2) inclusief 445,- verkoop totaal 8153,31</t>
  </si>
  <si>
    <t>(1) verkoop 50 dingen boekje 445,-</t>
  </si>
  <si>
    <t>Stichting Vrienden van het Natuur en Milieu Educatief Centrum De Ronde Venen</t>
  </si>
  <si>
    <t>ingebracht in vergadering van 15 februari 2017</t>
  </si>
  <si>
    <t xml:space="preserve">planning maken </t>
  </si>
  <si>
    <t>Balans per 31 december 2016</t>
  </si>
  <si>
    <t>om budgetten</t>
  </si>
  <si>
    <t>Activa</t>
  </si>
  <si>
    <t>Passiva</t>
  </si>
  <si>
    <t>Inkomsten</t>
  </si>
  <si>
    <t>Uitgaven</t>
  </si>
  <si>
    <t>te besteden</t>
  </si>
  <si>
    <t>RABO rek NL46RABO0302755918  1)</t>
  </si>
  <si>
    <t>*Te besteden voor Educatieve tuin</t>
  </si>
  <si>
    <t>donateurs</t>
  </si>
  <si>
    <t>ABN AMRO rek 85.45.51.123</t>
  </si>
  <si>
    <t>*Te besteden voor herinr NME ruimte</t>
  </si>
  <si>
    <t xml:space="preserve">            p.m.</t>
  </si>
  <si>
    <t>ABN AMRO spaarrekenig 97.51.95.352</t>
  </si>
  <si>
    <t>*Reservering 50 dingen boekje</t>
  </si>
  <si>
    <t>(3) is toegezegd (rekening indienen)</t>
  </si>
  <si>
    <t>Winst- en verliesrekening 2016</t>
  </si>
  <si>
    <t>(4) streefbedrag is 8500/garantstelling</t>
  </si>
  <si>
    <t>Donaties vrienden</t>
  </si>
  <si>
    <t>Aanpassingen Educatieve tuin</t>
  </si>
  <si>
    <t>Themamiddagen/algemene publieksacties</t>
  </si>
  <si>
    <t>Donatie IVN Ronde Venen</t>
  </si>
  <si>
    <t>Subsidie KfHeinfonds</t>
  </si>
  <si>
    <t>Rente spaarrekening</t>
  </si>
  <si>
    <t>Diversen/representatie</t>
  </si>
  <si>
    <t>Donatie Ronde Venen Fonds</t>
  </si>
  <si>
    <t>Saldo 2016</t>
  </si>
  <si>
    <t>Saldo 2015</t>
  </si>
  <si>
    <t>saldo 2014</t>
  </si>
  <si>
    <t>bank: RABO BANK te Mijdrecht NL46 RABO 0302 7559 18</t>
  </si>
  <si>
    <t>De stichting is opgenomen in het stichtingsregister van de Kamer van Koophandel te Utrecht onder dossiernummer 41186354</t>
  </si>
  <si>
    <t>JAARREKENING 2016</t>
  </si>
  <si>
    <t>*Tuinwerkgroep</t>
  </si>
  <si>
    <t xml:space="preserve">Vermogen (vrij besteedbaar) </t>
  </si>
  <si>
    <t>Totaal</t>
  </si>
  <si>
    <t>1 en 4</t>
  </si>
  <si>
    <t>Subsidies 50 dingen boekje 1)</t>
  </si>
  <si>
    <t>1) specificatie in tabblad projecten</t>
  </si>
  <si>
    <t>Donatie Johnson 10 jarig bestaan</t>
  </si>
  <si>
    <t>Tuinwerkgroep</t>
  </si>
  <si>
    <t>diversen/bankkosten</t>
  </si>
  <si>
    <t>Begroting 2017</t>
  </si>
  <si>
    <t xml:space="preserve"> RABO rek NL33RABO3633685324</t>
  </si>
  <si>
    <t>fondswerving 25 jarig bestaan</t>
  </si>
  <si>
    <t xml:space="preserve">RABO rek NL46RABO0302755918 </t>
  </si>
  <si>
    <t>Bijdrage ODRU tentoonstelling (1)</t>
  </si>
  <si>
    <t>afboeking negatief saldo</t>
  </si>
  <si>
    <t>Totaal uitgaven</t>
  </si>
  <si>
    <t>Totaal inkomsten</t>
  </si>
  <si>
    <t>Div kosten/ decl Overgaag</t>
  </si>
  <si>
    <t>0,01 overschrijding</t>
  </si>
  <si>
    <t>Bijdrage ODRU</t>
  </si>
  <si>
    <t>*Ontwikkeling NME (1)</t>
  </si>
  <si>
    <t xml:space="preserve">subtotaal </t>
  </si>
  <si>
    <t>(1) bijdrage is op 25 januari 2017 ontvangen</t>
  </si>
  <si>
    <t>Stimulering NME</t>
  </si>
  <si>
    <t>Voorschot Restaurant Jess (High Tea vrijwilligers)</t>
  </si>
  <si>
    <t>Afrekening High Tea</t>
  </si>
  <si>
    <t>Stichting Bovenlanden</t>
  </si>
  <si>
    <t>naar dekking bankkosten (verg 15-02)</t>
  </si>
  <si>
    <t>naar 25 jarig jubileum</t>
  </si>
  <si>
    <t>overboeking nr. 5 tentoonstelling</t>
  </si>
  <si>
    <t>Overboeking nr 5 besl verg 15-02</t>
  </si>
  <si>
    <t>Overboeking naar nr 4 bankkosten</t>
  </si>
  <si>
    <t>Saldo  afgesloten</t>
  </si>
  <si>
    <t xml:space="preserve">overboeking restant nr 3 </t>
  </si>
  <si>
    <t>overboeking rente 50 dingenboekje</t>
  </si>
  <si>
    <t>doorboeking rente (vergad 15 febr.)</t>
  </si>
  <si>
    <t>Saldo (afgesloten per 21 maart 2017)</t>
  </si>
  <si>
    <t>aanvulling saldo bankkost.(verg 15-2)</t>
  </si>
  <si>
    <t xml:space="preserve">vereffening saldo nr </t>
  </si>
  <si>
    <t>totaal  inkomsten</t>
  </si>
  <si>
    <t>A</t>
  </si>
  <si>
    <t>klusjesman/Anouk Andreae</t>
  </si>
  <si>
    <t>Ans Heemskerk BSO workshop</t>
  </si>
  <si>
    <t>Anouk Andreae BSO workshop</t>
  </si>
  <si>
    <t>TOF Lunchroom</t>
  </si>
  <si>
    <t>DonatieSt. Ronde Venen</t>
  </si>
  <si>
    <t>De Groene Venen</t>
  </si>
  <si>
    <t>Kraakhelder/voorst.boswachter</t>
  </si>
  <si>
    <t>Martin van Rooijen/wordkshop risicospel</t>
  </si>
  <si>
    <t>Boeket Ineke Bams/voorsc Ester Overgaag</t>
  </si>
  <si>
    <t>Jessicaas</t>
  </si>
  <si>
    <t xml:space="preserve"> fat nr 20170031</t>
  </si>
  <si>
    <t>Polderwachter Marcel Blekendaal</t>
  </si>
  <si>
    <t>Voorschot Anouk  Plantjes Lau</t>
  </si>
  <si>
    <t>Izettle  reader</t>
  </si>
  <si>
    <t>Don. Biotrading</t>
  </si>
  <si>
    <t>Don. Handelsonderneming Brouwer</t>
  </si>
  <si>
    <t>Don. Omgevingsdienst</t>
  </si>
  <si>
    <t>Kraakhelder/voorst.boswachter/laatste term</t>
  </si>
  <si>
    <t>Inkomsten 2017</t>
  </si>
  <si>
    <t>uitgaven 2017</t>
  </si>
  <si>
    <t>RABO rek NL33RABO3633685324 sp.rek. tuin</t>
  </si>
  <si>
    <t>RABO rek NL55RABO3633685316 sp.rek. 50 dingen boekje</t>
  </si>
  <si>
    <t>RABO rek NL46RABO0302755918 rek courant</t>
  </si>
  <si>
    <t>klopt</t>
  </si>
  <si>
    <t>inkomsten 2017</t>
  </si>
  <si>
    <t>Vedema Verhuur</t>
  </si>
  <si>
    <t>Jenneke van Wijngaarden</t>
  </si>
  <si>
    <t>Bureau wijkwiskunde</t>
  </si>
  <si>
    <t>Feuer en Flamme Flammkuchen</t>
  </si>
  <si>
    <t>Jumbo door Ans voorgeschoten</t>
  </si>
  <si>
    <t>Fons Spijer/voorgesch Conny</t>
  </si>
  <si>
    <t>Natural Bulbs voorschot Conny</t>
  </si>
  <si>
    <t>Fons Tuithof Martkkramen</t>
  </si>
  <si>
    <t>A.G.M. de Kruijf</t>
  </si>
  <si>
    <t>Reinaerde</t>
  </si>
  <si>
    <t>Slijterij Vreeland</t>
  </si>
  <si>
    <t>De Brediusschuur</t>
  </si>
  <si>
    <t xml:space="preserve">Donatie Walraven </t>
  </si>
  <si>
    <t>verkoop 50 dingen boekje</t>
  </si>
  <si>
    <t>Conny workshop risicospel</t>
  </si>
  <si>
    <t>Vrijwillegers feest Heerewaarden</t>
  </si>
  <si>
    <t>reserveringen gesaldeerd</t>
  </si>
  <si>
    <t>5IPADs BBC bet aan Conny v Kruijsbergen</t>
  </si>
  <si>
    <t>5 IPAD hoezen bet aan Conny v Kruijsbergn</t>
  </si>
  <si>
    <t>NME vDijk Nijhof fonds</t>
  </si>
  <si>
    <t>JAARREKENING 2017</t>
  </si>
  <si>
    <t>Balans per 31 december 2017</t>
  </si>
  <si>
    <t>Begroting 2018</t>
  </si>
  <si>
    <t>Winst- en verliesrekening 2017</t>
  </si>
  <si>
    <t xml:space="preserve">RABO rek NL46RABO0302755918  </t>
  </si>
  <si>
    <t>fondswerving</t>
  </si>
  <si>
    <t>* Ronde Venen Fonds (Basisonderwijs  nr 8)</t>
  </si>
  <si>
    <t>Uitgaven/inkomsten 2017</t>
  </si>
  <si>
    <t>* 25 jarig bestaan (Uitbetaling toegezegde bijdragen)</t>
  </si>
  <si>
    <t xml:space="preserve">1) in RABO rek NL46RABO0302755918 is een bedrag </t>
  </si>
  <si>
    <t xml:space="preserve">  van   1.315,55 gereserveerd voor 25 jarig bestaan</t>
  </si>
  <si>
    <t>3000,- is verwachte susbsidie Ronde Venen Fonds</t>
  </si>
  <si>
    <t>Totaal inkomsten 25 jarig bestaan</t>
  </si>
  <si>
    <t>voorziening 25 jarig bestaan</t>
  </si>
  <si>
    <t>Totaal inkomsten 2017</t>
  </si>
  <si>
    <t>totaal uitgaven 2017</t>
  </si>
  <si>
    <t>Ontwikelng NME</t>
  </si>
  <si>
    <t>Uitgaven 2017</t>
  </si>
  <si>
    <t>Totaal uitgaven 2017</t>
  </si>
  <si>
    <t>Herinrichting ruimte</t>
  </si>
  <si>
    <t>Saldo 2017/ Verlies</t>
  </si>
  <si>
    <t>Saldo 2016/winst</t>
  </si>
  <si>
    <t>vrij besteedbaar</t>
  </si>
  <si>
    <t>saldo te besteden voor bankkosten per 31 dec 2017 (kolom H)</t>
  </si>
  <si>
    <t>saldo herinrichting ruimte per 31 dec 2017 kolom H)</t>
  </si>
  <si>
    <t>saldo 50 dingen boekje (kolom H) saldo rekening ….16</t>
  </si>
  <si>
    <t>saldo te besteden per 31 dec 2017 (kolom H)</t>
  </si>
  <si>
    <t>saldo 25 jarig bestaan per 31 dec 2017 (zie kolom H)</t>
  </si>
  <si>
    <t>saldo ontwikkeling NME per 31 dec 2017 (zie kolom H)</t>
  </si>
  <si>
    <t>vrij beschikbare ruimte per 31 dec 2017 (zie kolom G)</t>
  </si>
  <si>
    <t>Totaal beschikbaar 1)</t>
  </si>
  <si>
    <t>vrij te besteden budget per 31 dec 2017</t>
  </si>
  <si>
    <t>inkomsten 2018 rente donateurs</t>
  </si>
  <si>
    <t>Vrij te besteden 2018</t>
  </si>
  <si>
    <t>controle vrij te besteden budget 2018</t>
  </si>
  <si>
    <t>15.664,05 zijn geraamde uitgaven voor 2018</t>
  </si>
  <si>
    <t>via rek 18  bon bij 24</t>
  </si>
  <si>
    <t>wisselpost 18</t>
  </si>
  <si>
    <t>wisselpost  18</t>
  </si>
  <si>
    <t>bankafschr 10</t>
  </si>
  <si>
    <t>zie bank boek.</t>
  </si>
  <si>
    <t>bank</t>
  </si>
  <si>
    <t>bon aanwezig</t>
  </si>
  <si>
    <t>wisselpost bankkosten</t>
  </si>
  <si>
    <t>per bank betaald</t>
  </si>
  <si>
    <t xml:space="preserve">wisselpost </t>
  </si>
  <si>
    <t>wisselpost intern</t>
  </si>
  <si>
    <t>wisselost intern</t>
  </si>
  <si>
    <t>wisselpost intern /nr 4</t>
  </si>
  <si>
    <t>bank wisselpost nr 16</t>
  </si>
  <si>
    <t>zie bon</t>
  </si>
  <si>
    <t>ziebon</t>
  </si>
  <si>
    <t>bank zie bon</t>
  </si>
  <si>
    <t>bank/wisselpost</t>
  </si>
  <si>
    <t>Uitzoeken</t>
  </si>
  <si>
    <t>2,43 bij op 8-9 IZETTLE</t>
  </si>
  <si>
    <t>58,35 bij op 20-09-IZETTLE</t>
  </si>
  <si>
    <t>zie factuur</t>
  </si>
  <si>
    <t>Izettle</t>
  </si>
  <si>
    <t>aanpassing concept rekening</t>
  </si>
  <si>
    <t>zie bon jessicas 4-2-2017</t>
  </si>
  <si>
    <t>Definitieve jaarrekening 2017</t>
  </si>
  <si>
    <t>electronisch</t>
  </si>
  <si>
    <t>onderdeel 233,67/vliegermateriaal 50 dingenb/Jumbo op post feest</t>
  </si>
  <si>
    <t xml:space="preserve">electronisch </t>
  </si>
  <si>
    <t>overig</t>
  </si>
  <si>
    <t>25 j best</t>
  </si>
  <si>
    <t>25 jarig best</t>
  </si>
  <si>
    <t>idem</t>
  </si>
  <si>
    <t>deze 3 post een mail</t>
  </si>
  <si>
    <t>25 best</t>
  </si>
  <si>
    <t>check bonnen en electronische bonnen/dig rek 2017</t>
  </si>
  <si>
    <t>Overzichten projecten 2018</t>
  </si>
  <si>
    <t>Uitgaven 2018</t>
  </si>
  <si>
    <t>Inkomsten 2018</t>
  </si>
  <si>
    <t>totaal uitgaven 2018</t>
  </si>
  <si>
    <t>totaal inkomsten 2018</t>
  </si>
  <si>
    <t>nr 10</t>
  </si>
  <si>
    <t>Buiten Ruimte</t>
  </si>
  <si>
    <t>InSTOCK</t>
  </si>
  <si>
    <t>St.Ronde Venen Fonds</t>
  </si>
  <si>
    <t>De Ronde Venen</t>
  </si>
  <si>
    <t>Stichting Design Works</t>
  </si>
  <si>
    <t>ODRU   2018 0176  /2017-2018</t>
  </si>
  <si>
    <t>ODRU   2018  0177  /2018-2019</t>
  </si>
  <si>
    <t>electronisch fin 2018</t>
  </si>
  <si>
    <t>Don St DRV Fonds</t>
  </si>
  <si>
    <t>bankafschrift</t>
  </si>
  <si>
    <t>electr bon</t>
  </si>
  <si>
    <t>electronische bon</t>
  </si>
  <si>
    <t xml:space="preserve">elect bon </t>
  </si>
  <si>
    <t>bankafschtrift</t>
  </si>
  <si>
    <t>Anouk kooprijk vogelhuisjes voorschot</t>
  </si>
  <si>
    <t>Kraakhelder Boswachter Beer voorstelling</t>
  </si>
  <si>
    <t>check</t>
  </si>
  <si>
    <t>resume</t>
  </si>
  <si>
    <t>tot inkomsten</t>
  </si>
  <si>
    <t>tot uitgaven</t>
  </si>
  <si>
    <t>Polderwachter Marcel Blekendaal 2512237</t>
  </si>
  <si>
    <t>Anouk goedkoopste kant artikelen 34902</t>
  </si>
  <si>
    <t>Anouk Kunstlokaal 2018616</t>
  </si>
  <si>
    <t>Dagmar Schaik Garaphics Disign nr 01160</t>
  </si>
  <si>
    <t>Ans Heemskerk voorschot bonnen volgen</t>
  </si>
  <si>
    <t>Jessicaas nr. 2018 0039</t>
  </si>
  <si>
    <t>besluit bestuur 18.07.18 aanwenden voor 25 jarig bestaan voor tuin</t>
  </si>
  <si>
    <t>Jeanette van Wijngaarden workshop</t>
  </si>
  <si>
    <t>Kraakhelder 56-2018</t>
  </si>
  <si>
    <t>IZETTLE</t>
  </si>
  <si>
    <t>Bredius 2018 MB3 3 doz fruitsap</t>
  </si>
  <si>
    <t>Polderwachter Marcel Blekendaal 2512258</t>
  </si>
  <si>
    <t>Hubo voorschot Annouk</t>
  </si>
  <si>
    <t>bon</t>
  </si>
  <si>
    <t>Formidable Crepes 201825 50 dingenfeest</t>
  </si>
  <si>
    <t>overheveling saldo 25 jarig bstaan/tuin</t>
  </si>
  <si>
    <t>overheveling saldo 25 jarig best. Tuin</t>
  </si>
  <si>
    <t>electron bon</t>
  </si>
  <si>
    <t>Buitenruimte 201860</t>
  </si>
  <si>
    <t>Kofiemachine ODRU 10712/20180782</t>
  </si>
  <si>
    <t>electr rek</t>
  </si>
  <si>
    <t>JAARREKENING 2018</t>
  </si>
  <si>
    <t>Balans per 31 december 2018</t>
  </si>
  <si>
    <t>Winst- en verliesrekening 2018</t>
  </si>
  <si>
    <t>Saldo 2018/Verlies</t>
  </si>
  <si>
    <t>controle</t>
  </si>
  <si>
    <t>Toegezegde bijdragen</t>
  </si>
  <si>
    <t>Begroting 2019</t>
  </si>
  <si>
    <t>1) uitbetalingtoegezegde bijdragen (KF Heinf 3000/Pr.Bernh CF 1000/ Johnson 1000)</t>
  </si>
  <si>
    <t>2) nader invullen</t>
  </si>
  <si>
    <t>a)</t>
  </si>
  <si>
    <t>a) 1000 greserveerd voor tuin</t>
  </si>
  <si>
    <t>Overzichten projecten 2019</t>
  </si>
  <si>
    <t>Afgesloten in 2017</t>
  </si>
  <si>
    <t>Afgesloten in 2018</t>
  </si>
  <si>
    <t>Saldo 31-12-2017</t>
  </si>
  <si>
    <t>afgesloten 31 december 2017</t>
  </si>
  <si>
    <t>Uitgaven 2019</t>
  </si>
  <si>
    <t>totaal uitgaven 2019</t>
  </si>
  <si>
    <t>Inkomsten 2019</t>
  </si>
  <si>
    <t>Totaal inkomsten 2019</t>
  </si>
  <si>
    <t>Prins Bernhard Cultuurfonds</t>
  </si>
  <si>
    <t>Boom en Co P310313</t>
  </si>
  <si>
    <t>bankafschr</t>
  </si>
  <si>
    <t>elect rek 25 jar best</t>
  </si>
  <si>
    <t>KF Heinfonds</t>
  </si>
  <si>
    <t>totaal inkomsten 2019</t>
  </si>
  <si>
    <t>* 25 jarig bestaan KF Heinf (3000) Prinsberh Cultf (1000))</t>
  </si>
  <si>
    <t>Johnson 1000,- nog te ontvangen</t>
  </si>
  <si>
    <t>geboekt naar lopende rekening</t>
  </si>
  <si>
    <t>ontvangen uit rek 50 dingenboekje</t>
  </si>
  <si>
    <t>zal worden overgeboekt aan ODRU</t>
  </si>
  <si>
    <t xml:space="preserve">Rabo dichtbijfonds e.a. </t>
  </si>
  <si>
    <t>Walravenfonds (nog te ontvangen)</t>
  </si>
  <si>
    <t>komt in 2019 donatie van DRV fonds</t>
  </si>
  <si>
    <t>totaal budget</t>
  </si>
  <si>
    <t>Roodkapje</t>
  </si>
  <si>
    <t>Rabo dichtbijfonds</t>
  </si>
  <si>
    <t>toegezegd (mail Margreet)</t>
  </si>
  <si>
    <t>DRV /ODRU</t>
  </si>
  <si>
    <t>Conny onderneemt ctie</t>
  </si>
  <si>
    <t>totaal kosten (2 sessies)</t>
  </si>
  <si>
    <t>handhaven komt dit jaar mogelijk een donatie van …………</t>
  </si>
  <si>
    <t>nieuw project 2019</t>
  </si>
  <si>
    <t>post afgesloten in 2018/best besl 5-2-2019</t>
  </si>
  <si>
    <t>post afgesloten in 2017/best besl 5-2-2019</t>
  </si>
  <si>
    <t>Tot. Besch.b.</t>
  </si>
  <si>
    <t>concept jaarrekening 2018 vastgesteld door Bestuur op 5 februari 2019</t>
  </si>
  <si>
    <t>overheveling saldo 25 jarig bestaan/tuin</t>
  </si>
  <si>
    <t>post open houden voor tuinwerkgroep</t>
  </si>
  <si>
    <t>zie bankafschrift</t>
  </si>
  <si>
    <t>bankafschrift/electronisch fin 2018</t>
  </si>
  <si>
    <t>bankafschrift/electronisch fin 2019</t>
  </si>
  <si>
    <t>electronisch bon</t>
  </si>
  <si>
    <t>donatie  Bolton ontwikkeling</t>
  </si>
  <si>
    <t>donatie SC Johnson 2e druk</t>
  </si>
  <si>
    <t>donatie van Walraven 2e druk</t>
  </si>
  <si>
    <t>donatie Spelt 2e druk</t>
  </si>
  <si>
    <t>don St.Ronde Venen fonds 2e druk</t>
  </si>
  <si>
    <t xml:space="preserve">don. RABO </t>
  </si>
  <si>
    <t>f</t>
  </si>
  <si>
    <t>Johnson (correctie boek 50 ding boekje</t>
  </si>
  <si>
    <t>groenpand lesk elektriciteit</t>
  </si>
  <si>
    <t>gezond Wilnis veenzijde vastgoed</t>
  </si>
  <si>
    <t>Jessicaas nr 201900292</t>
  </si>
  <si>
    <t>x</t>
  </si>
  <si>
    <t>Vliegeniersbedr de Paddenstoel 15758</t>
  </si>
  <si>
    <t>NatuurVerhuur Roodkapje tent.</t>
  </si>
  <si>
    <t>IZettle</t>
  </si>
  <si>
    <t>Jessicaas Ontwerp</t>
  </si>
  <si>
    <t>Kraakhelder 59-2019</t>
  </si>
  <si>
    <t>Conny vn Kruijsbergen kas</t>
  </si>
  <si>
    <t>Totaal uitgaven 2019</t>
  </si>
  <si>
    <t xml:space="preserve">Saldo </t>
  </si>
  <si>
    <t>Inkomsten 2019 50 dingen boekje</t>
  </si>
  <si>
    <t>Inkomsten 2019 Basisonderwijs</t>
  </si>
  <si>
    <t>Inkomsten 2019 25 jarig bestaan</t>
  </si>
  <si>
    <t>Inkomsten 2018 25 jarig bestaan</t>
  </si>
  <si>
    <t>Inkomsten 2019 Stimulering NME</t>
  </si>
  <si>
    <t>activiteiten natuur recreatief</t>
  </si>
  <si>
    <t>correctie op 3500 van Johnson op 17 juni 2019</t>
  </si>
  <si>
    <t>tot 3500 waarvan 1000 voor 25 jarig bestaan</t>
  </si>
  <si>
    <t>correctie Johnson deel 25 jarig bestaan</t>
  </si>
  <si>
    <t>Rabo dichtbij fonds</t>
  </si>
  <si>
    <t>correctie naar 25 jarig bestaan</t>
  </si>
  <si>
    <t>don prov Utrecht</t>
  </si>
  <si>
    <t>Gemeente De Ronde Venen</t>
  </si>
  <si>
    <t>cor 50 dingen boekje omschrijving foutif</t>
  </si>
  <si>
    <t>restant correctie DRV 50 db tot 5000</t>
  </si>
  <si>
    <t>don gem De ronde Venen restant</t>
  </si>
  <si>
    <t>don. Provincie Utrecht (foutieve omschr.)</t>
  </si>
  <si>
    <t>correctie basisonderwijs</t>
  </si>
  <si>
    <t>foutieve boeking zie onder</t>
  </si>
  <si>
    <t>saldo 25 jarig bestaan</t>
  </si>
  <si>
    <t>project 25 jarig bestaan afsluiten</t>
  </si>
  <si>
    <t>besluit Best 4 nov 2019</t>
  </si>
  <si>
    <t>overboeking naar bankkosten nr. 4</t>
  </si>
  <si>
    <t>besluit bestuur 4 nov</t>
  </si>
  <si>
    <t>naar diversen nr.4</t>
  </si>
  <si>
    <t>Vedama Verhuur  2019386</t>
  </si>
  <si>
    <t>Jessicaas ontwerp 20190049</t>
  </si>
  <si>
    <t>12 dec 2018 Izettle</t>
  </si>
  <si>
    <t>wisselpost</t>
  </si>
  <si>
    <t>Retour boeking Vedema Verhuur</t>
  </si>
  <si>
    <t>cor. prov Utrecht naar 50 dingen boekje</t>
  </si>
  <si>
    <t>rest. correctie Gem. DRV maar 50 dingenboekje</t>
  </si>
  <si>
    <t>cor. uit post Basisonderwijs</t>
  </si>
  <si>
    <t>JAARREKENING 2019</t>
  </si>
  <si>
    <t>Balans per 31 december 2019</t>
  </si>
  <si>
    <t>Winst- en verliesrekening 2019</t>
  </si>
  <si>
    <t>Begroting 2020</t>
  </si>
  <si>
    <t>Izetlle</t>
  </si>
  <si>
    <t>nr14</t>
  </si>
  <si>
    <t>nr 13</t>
  </si>
  <si>
    <t>Saldo 2019/winst</t>
  </si>
  <si>
    <t>RABO rek NL33RABO3633685324</t>
  </si>
  <si>
    <t>werving 2019</t>
  </si>
  <si>
    <t>fondswerving 2020</t>
  </si>
  <si>
    <t>nader in te vullen</t>
  </si>
  <si>
    <t>p.m.</t>
  </si>
  <si>
    <t>Overzichten projecten 2020</t>
  </si>
  <si>
    <t>Uitgaven 2020</t>
  </si>
  <si>
    <t>totaal uitgaven 2020</t>
  </si>
  <si>
    <t>Inkomsten 2020</t>
  </si>
  <si>
    <t>totaal inkomsten 2020</t>
  </si>
  <si>
    <t>Totaal inkomsten 2020</t>
  </si>
  <si>
    <t>Totaal uitgaven 2020</t>
  </si>
  <si>
    <t>Uitgaven  2020</t>
  </si>
  <si>
    <t>Rotary Vinkenveen</t>
  </si>
  <si>
    <t>besluit best 4 nov naar nr 4</t>
  </si>
  <si>
    <t>project 25 jarig bestaan is afgesloten per 15 nov 2019</t>
  </si>
  <si>
    <t>vrij beschikbare ruimte per 31 dec 2019</t>
  </si>
  <si>
    <t>kosten present 2e druk 50 dingen boekje</t>
  </si>
  <si>
    <t>concept ter goedkeuring van het bestuur  31 januari 2020</t>
  </si>
  <si>
    <t>Uitgaven (beschikbaar)</t>
  </si>
  <si>
    <t>De Toekomst drukkosten fnr. 406224</t>
  </si>
  <si>
    <t>Brediusschuur 2020MB4</t>
  </si>
  <si>
    <t>Creamore 202011</t>
  </si>
  <si>
    <t>verkoop 2 boekjes</t>
  </si>
  <si>
    <t>Izetttle</t>
  </si>
  <si>
    <t>NME Bredius 2020MB6</t>
  </si>
  <si>
    <t xml:space="preserve">Tringa Paintings nr 20201069 </t>
  </si>
  <si>
    <t>Jessicaas nr 20200034</t>
  </si>
  <si>
    <t>17 sept 202</t>
  </si>
  <si>
    <t>Kraakhelder 53-2020</t>
  </si>
  <si>
    <t>vermogen</t>
  </si>
  <si>
    <t>toegevoegd aan vermogen</t>
  </si>
  <si>
    <t>Afgesloten in 2020</t>
  </si>
  <si>
    <t>saldo tuinwerkgroep</t>
  </si>
  <si>
    <t>nr1</t>
  </si>
  <si>
    <t>nr4</t>
  </si>
  <si>
    <t>nr9</t>
  </si>
  <si>
    <t>toevoeging aan vermogen</t>
  </si>
  <si>
    <t>reservering diversen</t>
  </si>
  <si>
    <t>stichting doen</t>
  </si>
  <si>
    <t>toevoeging aan reserve</t>
  </si>
  <si>
    <t>afgesloten 8 okt 2020</t>
  </si>
  <si>
    <t>besluit bestuur 8 okt 2020</t>
  </si>
  <si>
    <t>aangepast besluit bestuur 8 okt 2020</t>
  </si>
  <si>
    <t>Vermogen</t>
  </si>
  <si>
    <t>toevoegingen 2020</t>
  </si>
  <si>
    <t>totaal toevoegingen 2020</t>
  </si>
  <si>
    <t>ontrekkingen 2020</t>
  </si>
  <si>
    <t>afgesl 8-10-2020</t>
  </si>
  <si>
    <t>nr6</t>
  </si>
  <si>
    <t>herinricht buitenruimte</t>
  </si>
  <si>
    <t>Anouk Andrea vooorschot 50 dingenb</t>
  </si>
  <si>
    <t>Tuithof verhuur tenten</t>
  </si>
  <si>
    <t>Conny van Kruysbergen kas</t>
  </si>
  <si>
    <t>Stichting vrienden van</t>
  </si>
  <si>
    <t>Rabo supportersclub</t>
  </si>
  <si>
    <t>JAARREKENING 2020</t>
  </si>
  <si>
    <t>concept ter goedkeuring van het bestuur  28 januari 2021</t>
  </si>
  <si>
    <t>Balans per 31 december 2020</t>
  </si>
  <si>
    <t>negatief saldo kas</t>
  </si>
  <si>
    <t>nr 9</t>
  </si>
  <si>
    <t>Sticht Doen Oranjefonds</t>
  </si>
  <si>
    <t>Saldo verlies 2020</t>
  </si>
  <si>
    <t>nr 6</t>
  </si>
  <si>
    <t>toename vermogen</t>
  </si>
  <si>
    <t>Overzichten projecten 2021</t>
  </si>
  <si>
    <t>nr 1</t>
  </si>
  <si>
    <t>totaal uitgaven 2021</t>
  </si>
  <si>
    <t>uitgaven 2021</t>
  </si>
  <si>
    <t>inkomsten 2021</t>
  </si>
  <si>
    <t>Totaal inkomsten 2021</t>
  </si>
  <si>
    <t>IZETTLE (kas Conny)</t>
  </si>
  <si>
    <t>te goed kas Conny</t>
  </si>
  <si>
    <t>toevoegingen 2021</t>
  </si>
  <si>
    <t>ontrekkingen 2021</t>
  </si>
  <si>
    <t>Conny van Kruijsbergen</t>
  </si>
  <si>
    <t>aanvulling uit reserves</t>
  </si>
  <si>
    <t>aanvulling bankkosten</t>
  </si>
  <si>
    <t>Reservering diversen bankkosten</t>
  </si>
  <si>
    <t>Anouk Andrea kleine kas</t>
  </si>
  <si>
    <t>Donatie Veenhartkerk</t>
  </si>
  <si>
    <t>Verrek. 2 boekjes/Anouk Andrae</t>
  </si>
  <si>
    <t>4-5 2021</t>
  </si>
  <si>
    <t>retourboeking naar Izettle</t>
  </si>
  <si>
    <t>wiselpost</t>
  </si>
  <si>
    <t>50 dingenboekje verrek. Anouk</t>
  </si>
  <si>
    <t xml:space="preserve">verrekenpost </t>
  </si>
  <si>
    <t>verk 4 tasjes</t>
  </si>
  <si>
    <t>verk 1 tasje</t>
  </si>
  <si>
    <t>van 50 dingenboekje wisselpost</t>
  </si>
  <si>
    <t>ink 50 dingenboekje</t>
  </si>
  <si>
    <t>Walraven holding donatie</t>
  </si>
  <si>
    <t>ODRU 10712 bijdrage Boswachter Beer</t>
  </si>
  <si>
    <t>bankosten</t>
  </si>
  <si>
    <t>ODRU microsc en bolderk</t>
  </si>
  <si>
    <t>Krk helder</t>
  </si>
  <si>
    <t>6-10 2021</t>
  </si>
  <si>
    <t xml:space="preserve">RV Hol </t>
  </si>
  <si>
    <t>Kraakhelder</t>
  </si>
  <si>
    <t>ink Izettle</t>
  </si>
  <si>
    <t>Bijdrage RABO clubsupport</t>
  </si>
  <si>
    <t>Raifaissenbank donatie</t>
  </si>
  <si>
    <t>JAARREKENING 2021</t>
  </si>
  <si>
    <t>concept ter goedkeuring van het bestuur 18 januari 2022</t>
  </si>
  <si>
    <t>Balans per 31 december 2021</t>
  </si>
  <si>
    <t>Winst- en verliesrekening 2021</t>
  </si>
  <si>
    <t>geen inkomsten</t>
  </si>
  <si>
    <t>saldo winst 2021</t>
  </si>
  <si>
    <t>saldo verlies 2020</t>
  </si>
  <si>
    <t>Nader te bestemmen</t>
  </si>
  <si>
    <t>vrij te besteden</t>
  </si>
  <si>
    <t>nader te bestemmen</t>
  </si>
  <si>
    <t>rekening aanwezig</t>
  </si>
  <si>
    <t>uitgaven 2022</t>
  </si>
  <si>
    <t xml:space="preserve"> januari  2022</t>
  </si>
  <si>
    <t>totaal uitgaven 2022</t>
  </si>
  <si>
    <t>inkomsten 2022</t>
  </si>
  <si>
    <t>Totaal inkomsten 2022</t>
  </si>
  <si>
    <t>rente 2021</t>
  </si>
  <si>
    <t>Evitos KvK</t>
  </si>
  <si>
    <t>Anouk Andrea</t>
  </si>
  <si>
    <t>ODRU</t>
  </si>
  <si>
    <t xml:space="preserve"> Izettle m.i.v. 23 mei 2022 gekoppeld aan rekening van ODRU</t>
  </si>
  <si>
    <t>post afgesloten</t>
  </si>
  <si>
    <t>ODRU rek 10712 bijdr kriebelbeestjes</t>
  </si>
  <si>
    <t>C Timmerman F2241 klassemoestuinieren</t>
  </si>
  <si>
    <t>rek Ineke Bams nr 2022.11</t>
  </si>
  <si>
    <t>restant 20220515</t>
  </si>
  <si>
    <t>ODRU 20220515 bloemen en bijen</t>
  </si>
  <si>
    <t>Fort University Holland nr 2022-04</t>
  </si>
  <si>
    <t>rek Ineke Bams nr 2022.17</t>
  </si>
  <si>
    <t>rek D van Schaik 202200029</t>
  </si>
  <si>
    <t>ODRU 20220585 kwaliteitsverbet. Bassiond</t>
  </si>
  <si>
    <t>schenking Meta van Dijk</t>
  </si>
  <si>
    <t>Hans Hoogeveen concept fleur</t>
  </si>
  <si>
    <t>restant Ineke Bams</t>
  </si>
  <si>
    <t>JAARREKENING 2022</t>
  </si>
  <si>
    <t>Balans per 31 december 2022</t>
  </si>
  <si>
    <t>Winst- en verliesrekening 2022</t>
  </si>
  <si>
    <t>saldo verlies 2022</t>
  </si>
  <si>
    <t>twee posten 789,60 en 10</t>
  </si>
  <si>
    <t>totaal 799,60</t>
  </si>
  <si>
    <t>rek</t>
  </si>
  <si>
    <t>totaal 217,76</t>
  </si>
  <si>
    <t>concept ter goedkeuring van de kascommissie op 23 februari 2023</t>
  </si>
  <si>
    <t>uitgaven 2023</t>
  </si>
  <si>
    <t>totaal uitgaven 2023</t>
  </si>
  <si>
    <t>inkomsten 2023</t>
  </si>
  <si>
    <t>Totaal inkomsten 2023</t>
  </si>
  <si>
    <t>toevoegingen 2023</t>
  </si>
  <si>
    <t>ontrekkingen 2023</t>
  </si>
  <si>
    <t>gem De Ronde Venen bijdrage</t>
  </si>
  <si>
    <t>Guido Belle lesk groene energie</t>
  </si>
  <si>
    <t>O.E. Rijcken</t>
  </si>
  <si>
    <t>Bosch e/o/ J Kwak</t>
  </si>
  <si>
    <t>Kraakhelder product/Boswachter/16-2023</t>
  </si>
  <si>
    <t>Regent Woudreus/Bours voorschot</t>
  </si>
  <si>
    <t>v/d Laan /Heemskerk voorfin Vogelhuis</t>
  </si>
  <si>
    <t>L Zijlstra/ voorfinanc Vogelhuis</t>
  </si>
  <si>
    <t>uitreksel KvK</t>
  </si>
  <si>
    <t>Overzichten projecten 2023</t>
  </si>
  <si>
    <t>wisselpost naar bankkosten</t>
  </si>
  <si>
    <t>ODRU  20230143 Vogelkijkhuisje</t>
  </si>
  <si>
    <t>Randstad Partytent Verhuur 2023-1449</t>
  </si>
  <si>
    <t>Works Modderfest Calmijer 2023100006</t>
  </si>
  <si>
    <t>Buurderij van Dam Koekjes  nr 2311</t>
  </si>
  <si>
    <t>Rabobank</t>
  </si>
  <si>
    <t>Van Dijk Nijkamp Stichting</t>
  </si>
  <si>
    <t>C v Kruijsbergen</t>
  </si>
  <si>
    <t>Klimaat adaptieve tuin</t>
  </si>
  <si>
    <t>nr 14</t>
  </si>
  <si>
    <t>Lionsclub Vinkeveen</t>
  </si>
  <si>
    <t>Walraven</t>
  </si>
  <si>
    <t>ODRU modder</t>
  </si>
  <si>
    <t>Cooperatieve Rabobank</t>
  </si>
  <si>
    <t>ODRU  20230143 restant Vogelkijkhuisje</t>
  </si>
  <si>
    <t>ODRU bodembeestjes</t>
  </si>
  <si>
    <t>JAARREKENING 2023</t>
  </si>
  <si>
    <t>Balans per 31 december 2023</t>
  </si>
  <si>
    <t>Definitief</t>
  </si>
  <si>
    <t>Winst- en verliesrekening 2023</t>
  </si>
  <si>
    <t>saldo winst 2023</t>
  </si>
  <si>
    <t>Overzichten projecten 2024</t>
  </si>
  <si>
    <t>wisselpost vermogen</t>
  </si>
  <si>
    <t>voorschot</t>
  </si>
  <si>
    <t>overboeking schenking Meta van Dijk naar</t>
  </si>
  <si>
    <t>klimaatadaptieve tuin</t>
  </si>
  <si>
    <t>interne boeking</t>
  </si>
  <si>
    <t>goedgekeurd door bestuur op 5 februari 2024</t>
  </si>
  <si>
    <t>toevoeging uit post vermogen</t>
  </si>
  <si>
    <t>post per 31 december 2023 afgesloten</t>
  </si>
  <si>
    <t>Totaal onttrekkingen 2024</t>
  </si>
  <si>
    <t>uitgaven 2024</t>
  </si>
  <si>
    <t>totaal uitgaven 2024</t>
  </si>
  <si>
    <t>inkomsten 2024</t>
  </si>
  <si>
    <t>Totaal inkomsten 2024</t>
  </si>
  <si>
    <t>totaal ontrekking vermogen 2024</t>
  </si>
  <si>
    <t>0nttrekking 2024</t>
  </si>
  <si>
    <t>toevoeging 2024</t>
  </si>
  <si>
    <t>Totaal toevoeging vermogen 2024</t>
  </si>
  <si>
    <t>Bankkosten</t>
  </si>
  <si>
    <t>Reserveringen gesaldeerd</t>
  </si>
  <si>
    <t>bestuursbesluit 5 febr 2024</t>
  </si>
  <si>
    <t>Retour voorfinanc. v/d Laan Heemskerk</t>
  </si>
  <si>
    <t>Retour voorfinanc. L. Zijlstra</t>
  </si>
  <si>
    <t>voorfinanciering</t>
  </si>
  <si>
    <t>Johnson Wax</t>
  </si>
  <si>
    <t>Amstel Gooi en Vecht</t>
  </si>
  <si>
    <t>1e deel</t>
  </si>
  <si>
    <t>2e deel</t>
  </si>
  <si>
    <t>factuur / bankafschrift</t>
  </si>
  <si>
    <t>ODRU factnr 20240089</t>
  </si>
  <si>
    <t>ODRU factnr 20240090</t>
  </si>
  <si>
    <t>Tentoonstelling 2025</t>
  </si>
  <si>
    <t>Plantjes voorschot Marlou Boers</t>
  </si>
  <si>
    <t>factuur 3 stuks</t>
  </si>
  <si>
    <t>rekening</t>
  </si>
  <si>
    <t>ODRU 20240285 1e deel</t>
  </si>
  <si>
    <t>ODRU 20240285 2e deel</t>
  </si>
  <si>
    <t>factuur ODRU</t>
  </si>
  <si>
    <t>JAARREKENING 2024</t>
  </si>
  <si>
    <t>goedgekeurd door bestuur op 27 januari 2025</t>
  </si>
  <si>
    <t>Winst- en verliesrekening 2024</t>
  </si>
  <si>
    <t>saldo verlies 2024</t>
  </si>
  <si>
    <t>totaal ontrekking  2024</t>
  </si>
  <si>
    <t>Totaal toevoeging 2024</t>
  </si>
  <si>
    <t>Balans per 31 december 2024</t>
  </si>
  <si>
    <t>tot 2024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</si>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</sst>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 &quot;€&quot;\ * #,##0.00_ ;_ &quot;€&quot;\ * \-#,##0.00_ ;_ &quot;€&quot;\ * &quot;-&quot;??_ ;_ @_ "/>
    <numFmt numFmtId="164" formatCode="_(&quot;€&quot;\ * #,##0.00_);_(&quot;€&quot;\ * \(#,##0.00\);_(&quot;€&quot;\ * &quot;-&quot;??_);_(@_)"/>
    <numFmt numFmtId="165" formatCode="_(* #,##0.00_);_(* \(#,##0.00\);_(* &quot;-&quot;??_);_(@_)"/>
    <numFmt numFmtId="166" formatCode="_-&quot;€&quot;\ * #,##0.00_-;_-&quot;€&quot;\ * #,##0.00\-;_-&quot;€&quot;\ * &quot;-&quot;??_-;_-@_-"/>
    <numFmt numFmtId="167" formatCode="_-* #,##0.00_-;_-* #,##0.00\-;_-* &quot;-&quot;??_-;_-@_-"/>
    <numFmt numFmtId="168" formatCode="#,##0.00_-"/>
    <numFmt numFmtId="169" formatCode="&quot;€&quot;\ #,##0.00_-"/>
    <numFmt numFmtId="170" formatCode="&quot;€&quot;\ #,##0.00"/>
    <numFmt numFmtId="171" formatCode="_ &quot;€&quot;\ * #,##0.0_ ;_ &quot;€&quot;\ * \-#,##0.0_ ;_ &quot;€&quot;\ * &quot;-&quot;??_ ;_ @_ "/>
  </numFmts>
  <fonts count="33" x14ac:knownFonts="1">
    <font>
      <sz val="10"/>
      <name val="Arial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1"/>
      <name val="Arial"/>
      <family val="2"/>
    </font>
    <font>
      <u/>
      <sz val="12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i/>
      <sz val="12"/>
      <name val="Arial"/>
      <family val="2"/>
    </font>
    <font>
      <b/>
      <i/>
      <u/>
      <sz val="12"/>
      <name val="Arial"/>
      <family val="2"/>
    </font>
    <font>
      <u/>
      <sz val="10"/>
      <name val="Arial"/>
      <family val="2"/>
    </font>
    <font>
      <i/>
      <u/>
      <sz val="12"/>
      <name val="Arial"/>
      <family val="2"/>
    </font>
    <font>
      <b/>
      <sz val="24"/>
      <name val="Arial"/>
      <family val="2"/>
    </font>
    <font>
      <sz val="9"/>
      <name val="Arial"/>
      <family val="2"/>
    </font>
    <font>
      <sz val="14"/>
      <name val="Arial"/>
      <family val="2"/>
    </font>
    <font>
      <sz val="12"/>
      <color indexed="8"/>
      <name val="Arial"/>
      <family val="2"/>
    </font>
    <font>
      <sz val="6"/>
      <color indexed="8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8"/>
      <name val="Arial"/>
      <family val="2"/>
    </font>
    <font>
      <b/>
      <i/>
      <sz val="16"/>
      <color theme="1"/>
      <name val="Calibri"/>
      <family val="2"/>
      <scheme val="minor"/>
    </font>
    <font>
      <b/>
      <sz val="12"/>
      <color rgb="FF002060"/>
      <name val="Arial"/>
      <family val="2"/>
    </font>
    <font>
      <sz val="12"/>
      <color rgb="FF00206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53">
    <xf numFmtId="0" fontId="0" fillId="0" borderId="0" xfId="0"/>
    <xf numFmtId="0" fontId="1" fillId="0" borderId="0" xfId="0" applyFont="1"/>
    <xf numFmtId="167" fontId="0" fillId="0" borderId="0" xfId="0" applyNumberFormat="1"/>
    <xf numFmtId="169" fontId="0" fillId="0" borderId="0" xfId="0" applyNumberFormat="1"/>
    <xf numFmtId="0" fontId="2" fillId="0" borderId="0" xfId="0" applyFont="1"/>
    <xf numFmtId="14" fontId="1" fillId="0" borderId="0" xfId="0" applyNumberFormat="1" applyFont="1"/>
    <xf numFmtId="0" fontId="3" fillId="0" borderId="0" xfId="0" applyFont="1"/>
    <xf numFmtId="0" fontId="5" fillId="0" borderId="0" xfId="0" applyFont="1"/>
    <xf numFmtId="0" fontId="6" fillId="0" borderId="0" xfId="0" applyFont="1"/>
    <xf numFmtId="14" fontId="3" fillId="0" borderId="0" xfId="0" applyNumberFormat="1" applyFont="1"/>
    <xf numFmtId="164" fontId="6" fillId="0" borderId="0" xfId="0" applyNumberFormat="1" applyFont="1"/>
    <xf numFmtId="166" fontId="9" fillId="0" borderId="0" xfId="0" applyNumberFormat="1" applyFont="1"/>
    <xf numFmtId="0" fontId="9" fillId="0" borderId="0" xfId="0" applyFont="1"/>
    <xf numFmtId="14" fontId="9" fillId="0" borderId="0" xfId="0" applyNumberFormat="1" applyFont="1"/>
    <xf numFmtId="164" fontId="9" fillId="0" borderId="0" xfId="0" applyNumberFormat="1" applyFont="1"/>
    <xf numFmtId="166" fontId="2" fillId="0" borderId="0" xfId="0" applyNumberFormat="1" applyFont="1"/>
    <xf numFmtId="0" fontId="4" fillId="0" borderId="1" xfId="0" applyFont="1" applyBorder="1"/>
    <xf numFmtId="0" fontId="1" fillId="0" borderId="2" xfId="0" applyFont="1" applyBorder="1"/>
    <xf numFmtId="166" fontId="1" fillId="0" borderId="3" xfId="0" applyNumberFormat="1" applyFont="1" applyBorder="1"/>
    <xf numFmtId="0" fontId="4" fillId="0" borderId="4" xfId="0" applyFont="1" applyBorder="1"/>
    <xf numFmtId="167" fontId="1" fillId="0" borderId="5" xfId="0" applyNumberFormat="1" applyFont="1" applyBorder="1"/>
    <xf numFmtId="14" fontId="1" fillId="0" borderId="4" xfId="0" applyNumberFormat="1" applyFont="1" applyBorder="1"/>
    <xf numFmtId="164" fontId="3" fillId="0" borderId="5" xfId="0" applyNumberFormat="1" applyFont="1" applyBorder="1"/>
    <xf numFmtId="0" fontId="0" fillId="0" borderId="4" xfId="0" applyBorder="1"/>
    <xf numFmtId="164" fontId="0" fillId="0" borderId="5" xfId="0" applyNumberFormat="1" applyBorder="1"/>
    <xf numFmtId="14" fontId="0" fillId="0" borderId="4" xfId="0" applyNumberFormat="1" applyBorder="1"/>
    <xf numFmtId="164" fontId="9" fillId="0" borderId="5" xfId="0" applyNumberFormat="1" applyFont="1" applyBorder="1"/>
    <xf numFmtId="164" fontId="9" fillId="0" borderId="6" xfId="0" applyNumberFormat="1" applyFont="1" applyBorder="1"/>
    <xf numFmtId="164" fontId="6" fillId="0" borderId="5" xfId="0" applyNumberFormat="1" applyFont="1" applyBorder="1"/>
    <xf numFmtId="164" fontId="2" fillId="0" borderId="6" xfId="0" applyNumberFormat="1" applyFont="1" applyBorder="1"/>
    <xf numFmtId="14" fontId="11" fillId="0" borderId="1" xfId="0" applyNumberFormat="1" applyFont="1" applyBorder="1"/>
    <xf numFmtId="0" fontId="6" fillId="0" borderId="2" xfId="0" applyFont="1" applyBorder="1"/>
    <xf numFmtId="0" fontId="0" fillId="0" borderId="2" xfId="0" applyBorder="1"/>
    <xf numFmtId="164" fontId="6" fillId="0" borderId="3" xfId="0" applyNumberFormat="1" applyFont="1" applyBorder="1"/>
    <xf numFmtId="164" fontId="2" fillId="0" borderId="5" xfId="0" applyNumberFormat="1" applyFont="1" applyBorder="1"/>
    <xf numFmtId="166" fontId="2" fillId="0" borderId="5" xfId="0" applyNumberFormat="1" applyFont="1" applyBorder="1"/>
    <xf numFmtId="166" fontId="2" fillId="0" borderId="6" xfId="0" applyNumberFormat="1" applyFont="1" applyBorder="1"/>
    <xf numFmtId="166" fontId="6" fillId="0" borderId="5" xfId="0" applyNumberFormat="1" applyFont="1" applyBorder="1"/>
    <xf numFmtId="0" fontId="12" fillId="0" borderId="1" xfId="0" applyFont="1" applyBorder="1"/>
    <xf numFmtId="0" fontId="2" fillId="0" borderId="2" xfId="0" applyFont="1" applyBorder="1" applyAlignment="1">
      <alignment horizontal="distributed" vertical="distributed" shrinkToFit="1"/>
    </xf>
    <xf numFmtId="0" fontId="1" fillId="0" borderId="2" xfId="0" applyFont="1" applyBorder="1" applyAlignment="1">
      <alignment horizontal="distributed" vertical="distributed"/>
    </xf>
    <xf numFmtId="166" fontId="1" fillId="0" borderId="5" xfId="0" applyNumberFormat="1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" fontId="1" fillId="0" borderId="4" xfId="0" applyNumberFormat="1" applyFont="1" applyBorder="1" applyAlignment="1">
      <alignment horizontal="center"/>
    </xf>
    <xf numFmtId="166" fontId="1" fillId="0" borderId="6" xfId="0" applyNumberFormat="1" applyFont="1" applyBorder="1"/>
    <xf numFmtId="14" fontId="1" fillId="0" borderId="4" xfId="0" applyNumberFormat="1" applyFont="1" applyBorder="1" applyAlignment="1">
      <alignment horizontal="center"/>
    </xf>
    <xf numFmtId="166" fontId="3" fillId="0" borderId="5" xfId="0" applyNumberFormat="1" applyFont="1" applyBorder="1"/>
    <xf numFmtId="49" fontId="3" fillId="0" borderId="4" xfId="0" applyNumberFormat="1" applyFont="1" applyBorder="1" applyAlignment="1">
      <alignment horizontal="center"/>
    </xf>
    <xf numFmtId="0" fontId="8" fillId="0" borderId="0" xfId="0" applyFont="1"/>
    <xf numFmtId="166" fontId="9" fillId="0" borderId="6" xfId="0" applyNumberFormat="1" applyFont="1" applyBorder="1"/>
    <xf numFmtId="0" fontId="0" fillId="0" borderId="5" xfId="0" applyBorder="1"/>
    <xf numFmtId="166" fontId="9" fillId="0" borderId="5" xfId="0" applyNumberFormat="1" applyFont="1" applyBorder="1"/>
    <xf numFmtId="14" fontId="7" fillId="0" borderId="4" xfId="0" applyNumberFormat="1" applyFont="1" applyBorder="1"/>
    <xf numFmtId="0" fontId="10" fillId="0" borderId="0" xfId="0" applyFont="1"/>
    <xf numFmtId="164" fontId="10" fillId="0" borderId="5" xfId="0" applyNumberFormat="1" applyFont="1" applyBorder="1"/>
    <xf numFmtId="14" fontId="9" fillId="0" borderId="4" xfId="0" applyNumberFormat="1" applyFont="1" applyBorder="1"/>
    <xf numFmtId="14" fontId="11" fillId="0" borderId="0" xfId="0" applyNumberFormat="1" applyFont="1"/>
    <xf numFmtId="164" fontId="2" fillId="0" borderId="0" xfId="0" applyNumberFormat="1" applyFont="1"/>
    <xf numFmtId="166" fontId="6" fillId="0" borderId="0" xfId="0" applyNumberFormat="1" applyFont="1"/>
    <xf numFmtId="0" fontId="12" fillId="0" borderId="0" xfId="0" applyFont="1"/>
    <xf numFmtId="0" fontId="2" fillId="0" borderId="0" xfId="0" applyFont="1" applyAlignment="1">
      <alignment horizontal="distributed" vertical="distributed" shrinkToFit="1"/>
    </xf>
    <xf numFmtId="0" fontId="1" fillId="0" borderId="0" xfId="0" applyFont="1" applyAlignment="1">
      <alignment horizontal="distributed" vertical="distributed"/>
    </xf>
    <xf numFmtId="166" fontId="1" fillId="0" borderId="0" xfId="0" applyNumberFormat="1" applyFont="1"/>
    <xf numFmtId="0" fontId="4" fillId="0" borderId="0" xfId="0" applyFont="1"/>
    <xf numFmtId="0" fontId="1" fillId="0" borderId="0" xfId="0" applyFont="1" applyAlignment="1">
      <alignment horizontal="center"/>
    </xf>
    <xf numFmtId="16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166" fontId="3" fillId="0" borderId="0" xfId="0" applyNumberFormat="1" applyFont="1"/>
    <xf numFmtId="49" fontId="3" fillId="0" borderId="0" xfId="0" applyNumberFormat="1" applyFont="1" applyAlignment="1">
      <alignment horizontal="center"/>
    </xf>
    <xf numFmtId="14" fontId="7" fillId="0" borderId="0" xfId="0" applyNumberFormat="1" applyFont="1"/>
    <xf numFmtId="164" fontId="10" fillId="0" borderId="0" xfId="0" applyNumberFormat="1" applyFont="1"/>
    <xf numFmtId="164" fontId="6" fillId="2" borderId="7" xfId="0" applyNumberFormat="1" applyFont="1" applyFill="1" applyBorder="1"/>
    <xf numFmtId="166" fontId="6" fillId="2" borderId="7" xfId="0" applyNumberFormat="1" applyFont="1" applyFill="1" applyBorder="1"/>
    <xf numFmtId="14" fontId="9" fillId="0" borderId="1" xfId="0" applyNumberFormat="1" applyFont="1" applyBorder="1"/>
    <xf numFmtId="0" fontId="9" fillId="0" borderId="2" xfId="0" applyFont="1" applyBorder="1"/>
    <xf numFmtId="164" fontId="9" fillId="0" borderId="3" xfId="0" applyNumberFormat="1" applyFont="1" applyBorder="1"/>
    <xf numFmtId="0" fontId="9" fillId="0" borderId="4" xfId="0" applyFont="1" applyBorder="1"/>
    <xf numFmtId="0" fontId="9" fillId="0" borderId="5" xfId="0" applyFont="1" applyBorder="1"/>
    <xf numFmtId="14" fontId="2" fillId="0" borderId="1" xfId="0" applyNumberFormat="1" applyFont="1" applyBorder="1"/>
    <xf numFmtId="0" fontId="14" fillId="0" borderId="0" xfId="0" applyFont="1"/>
    <xf numFmtId="14" fontId="1" fillId="2" borderId="8" xfId="0" applyNumberFormat="1" applyFont="1" applyFill="1" applyBorder="1"/>
    <xf numFmtId="0" fontId="6" fillId="2" borderId="9" xfId="0" applyFont="1" applyFill="1" applyBorder="1"/>
    <xf numFmtId="0" fontId="0" fillId="2" borderId="9" xfId="0" applyFill="1" applyBorder="1"/>
    <xf numFmtId="0" fontId="5" fillId="2" borderId="9" xfId="0" applyFont="1" applyFill="1" applyBorder="1"/>
    <xf numFmtId="14" fontId="9" fillId="2" borderId="8" xfId="0" applyNumberFormat="1" applyFont="1" applyFill="1" applyBorder="1"/>
    <xf numFmtId="0" fontId="13" fillId="2" borderId="9" xfId="0" applyFont="1" applyFill="1" applyBorder="1"/>
    <xf numFmtId="14" fontId="1" fillId="3" borderId="1" xfId="0" applyNumberFormat="1" applyFont="1" applyFill="1" applyBorder="1"/>
    <xf numFmtId="0" fontId="6" fillId="3" borderId="2" xfId="0" applyFont="1" applyFill="1" applyBorder="1"/>
    <xf numFmtId="0" fontId="0" fillId="3" borderId="2" xfId="0" applyFill="1" applyBorder="1"/>
    <xf numFmtId="164" fontId="6" fillId="3" borderId="3" xfId="0" applyNumberFormat="1" applyFont="1" applyFill="1" applyBorder="1"/>
    <xf numFmtId="14" fontId="1" fillId="3" borderId="8" xfId="0" applyNumberFormat="1" applyFont="1" applyFill="1" applyBorder="1"/>
    <xf numFmtId="0" fontId="6" fillId="3" borderId="9" xfId="0" applyFont="1" applyFill="1" applyBorder="1"/>
    <xf numFmtId="0" fontId="0" fillId="3" borderId="9" xfId="0" applyFill="1" applyBorder="1"/>
    <xf numFmtId="164" fontId="6" fillId="3" borderId="7" xfId="0" applyNumberFormat="1" applyFont="1" applyFill="1" applyBorder="1"/>
    <xf numFmtId="0" fontId="0" fillId="3" borderId="0" xfId="0" applyFill="1"/>
    <xf numFmtId="0" fontId="6" fillId="3" borderId="0" xfId="0" applyFont="1" applyFill="1"/>
    <xf numFmtId="0" fontId="6" fillId="3" borderId="1" xfId="0" applyFont="1" applyFill="1" applyBorder="1"/>
    <xf numFmtId="15" fontId="6" fillId="3" borderId="8" xfId="0" applyNumberFormat="1" applyFont="1" applyFill="1" applyBorder="1"/>
    <xf numFmtId="44" fontId="6" fillId="3" borderId="7" xfId="0" applyNumberFormat="1" applyFont="1" applyFill="1" applyBorder="1"/>
    <xf numFmtId="0" fontId="5" fillId="3" borderId="9" xfId="0" applyFont="1" applyFill="1" applyBorder="1"/>
    <xf numFmtId="166" fontId="6" fillId="3" borderId="7" xfId="0" applyNumberFormat="1" applyFont="1" applyFill="1" applyBorder="1"/>
    <xf numFmtId="14" fontId="15" fillId="3" borderId="0" xfId="0" applyNumberFormat="1" applyFont="1" applyFill="1"/>
    <xf numFmtId="166" fontId="6" fillId="3" borderId="0" xfId="0" applyNumberFormat="1" applyFont="1" applyFill="1"/>
    <xf numFmtId="164" fontId="6" fillId="3" borderId="5" xfId="0" applyNumberFormat="1" applyFont="1" applyFill="1" applyBorder="1"/>
    <xf numFmtId="14" fontId="6" fillId="3" borderId="4" xfId="0" applyNumberFormat="1" applyFont="1" applyFill="1" applyBorder="1"/>
    <xf numFmtId="14" fontId="0" fillId="0" borderId="0" xfId="0" applyNumberFormat="1"/>
    <xf numFmtId="0" fontId="5" fillId="3" borderId="0" xfId="0" applyFont="1" applyFill="1"/>
    <xf numFmtId="14" fontId="1" fillId="3" borderId="4" xfId="0" applyNumberFormat="1" applyFont="1" applyFill="1" applyBorder="1"/>
    <xf numFmtId="166" fontId="6" fillId="3" borderId="5" xfId="0" applyNumberFormat="1" applyFont="1" applyFill="1" applyBorder="1"/>
    <xf numFmtId="14" fontId="9" fillId="3" borderId="1" xfId="0" applyNumberFormat="1" applyFont="1" applyFill="1" applyBorder="1"/>
    <xf numFmtId="14" fontId="9" fillId="3" borderId="4" xfId="0" applyNumberFormat="1" applyFont="1" applyFill="1" applyBorder="1"/>
    <xf numFmtId="14" fontId="9" fillId="3" borderId="8" xfId="0" applyNumberFormat="1" applyFont="1" applyFill="1" applyBorder="1"/>
    <xf numFmtId="0" fontId="6" fillId="3" borderId="4" xfId="0" applyFont="1" applyFill="1" applyBorder="1"/>
    <xf numFmtId="15" fontId="6" fillId="3" borderId="0" xfId="0" applyNumberFormat="1" applyFont="1" applyFill="1"/>
    <xf numFmtId="44" fontId="6" fillId="3" borderId="0" xfId="0" applyNumberFormat="1" applyFont="1" applyFill="1"/>
    <xf numFmtId="44" fontId="0" fillId="0" borderId="0" xfId="0" applyNumberFormat="1"/>
    <xf numFmtId="14" fontId="1" fillId="4" borderId="1" xfId="0" applyNumberFormat="1" applyFont="1" applyFill="1" applyBorder="1"/>
    <xf numFmtId="0" fontId="6" fillId="4" borderId="2" xfId="0" applyFont="1" applyFill="1" applyBorder="1"/>
    <xf numFmtId="0" fontId="0" fillId="4" borderId="2" xfId="0" applyFill="1" applyBorder="1"/>
    <xf numFmtId="164" fontId="6" fillId="4" borderId="3" xfId="0" applyNumberFormat="1" applyFont="1" applyFill="1" applyBorder="1"/>
    <xf numFmtId="14" fontId="1" fillId="4" borderId="4" xfId="0" applyNumberFormat="1" applyFont="1" applyFill="1" applyBorder="1"/>
    <xf numFmtId="0" fontId="6" fillId="4" borderId="0" xfId="0" applyFont="1" applyFill="1"/>
    <xf numFmtId="0" fontId="0" fillId="4" borderId="0" xfId="0" applyFill="1"/>
    <xf numFmtId="164" fontId="6" fillId="4" borderId="5" xfId="0" applyNumberFormat="1" applyFont="1" applyFill="1" applyBorder="1"/>
    <xf numFmtId="14" fontId="3" fillId="4" borderId="8" xfId="0" applyNumberFormat="1" applyFont="1" applyFill="1" applyBorder="1"/>
    <xf numFmtId="0" fontId="6" fillId="4" borderId="9" xfId="0" applyFont="1" applyFill="1" applyBorder="1"/>
    <xf numFmtId="0" fontId="0" fillId="4" borderId="9" xfId="0" applyFill="1" applyBorder="1"/>
    <xf numFmtId="164" fontId="6" fillId="4" borderId="7" xfId="0" applyNumberFormat="1" applyFont="1" applyFill="1" applyBorder="1"/>
    <xf numFmtId="14" fontId="3" fillId="0" borderId="4" xfId="0" applyNumberFormat="1" applyFont="1" applyBorder="1"/>
    <xf numFmtId="164" fontId="6" fillId="0" borderId="7" xfId="0" applyNumberFormat="1" applyFont="1" applyBorder="1"/>
    <xf numFmtId="14" fontId="9" fillId="5" borderId="1" xfId="0" applyNumberFormat="1" applyFont="1" applyFill="1" applyBorder="1"/>
    <xf numFmtId="0" fontId="2" fillId="5" borderId="2" xfId="0" applyFont="1" applyFill="1" applyBorder="1"/>
    <xf numFmtId="0" fontId="9" fillId="5" borderId="2" xfId="0" applyFont="1" applyFill="1" applyBorder="1"/>
    <xf numFmtId="0" fontId="9" fillId="5" borderId="3" xfId="0" applyFont="1" applyFill="1" applyBorder="1"/>
    <xf numFmtId="14" fontId="9" fillId="5" borderId="4" xfId="0" applyNumberFormat="1" applyFont="1" applyFill="1" applyBorder="1"/>
    <xf numFmtId="0" fontId="9" fillId="5" borderId="0" xfId="0" applyFont="1" applyFill="1"/>
    <xf numFmtId="0" fontId="9" fillId="5" borderId="5" xfId="0" applyFont="1" applyFill="1" applyBorder="1"/>
    <xf numFmtId="0" fontId="9" fillId="5" borderId="4" xfId="0" applyFont="1" applyFill="1" applyBorder="1"/>
    <xf numFmtId="0" fontId="6" fillId="5" borderId="10" xfId="0" applyFont="1" applyFill="1" applyBorder="1"/>
    <xf numFmtId="0" fontId="6" fillId="5" borderId="11" xfId="0" applyFont="1" applyFill="1" applyBorder="1"/>
    <xf numFmtId="44" fontId="6" fillId="5" borderId="12" xfId="0" applyNumberFormat="1" applyFont="1" applyFill="1" applyBorder="1"/>
    <xf numFmtId="0" fontId="0" fillId="5" borderId="8" xfId="0" applyFill="1" applyBorder="1"/>
    <xf numFmtId="0" fontId="6" fillId="5" borderId="9" xfId="0" applyFont="1" applyFill="1" applyBorder="1"/>
    <xf numFmtId="44" fontId="6" fillId="5" borderId="7" xfId="0" applyNumberFormat="1" applyFont="1" applyFill="1" applyBorder="1"/>
    <xf numFmtId="44" fontId="6" fillId="3" borderId="3" xfId="0" applyNumberFormat="1" applyFont="1" applyFill="1" applyBorder="1"/>
    <xf numFmtId="0" fontId="0" fillId="5" borderId="10" xfId="0" applyFill="1" applyBorder="1"/>
    <xf numFmtId="0" fontId="5" fillId="5" borderId="11" xfId="0" applyFont="1" applyFill="1" applyBorder="1"/>
    <xf numFmtId="0" fontId="0" fillId="5" borderId="11" xfId="0" applyFill="1" applyBorder="1"/>
    <xf numFmtId="0" fontId="5" fillId="5" borderId="12" xfId="0" applyFont="1" applyFill="1" applyBorder="1"/>
    <xf numFmtId="0" fontId="16" fillId="0" borderId="0" xfId="0" applyFont="1"/>
    <xf numFmtId="15" fontId="6" fillId="3" borderId="4" xfId="0" applyNumberFormat="1" applyFont="1" applyFill="1" applyBorder="1"/>
    <xf numFmtId="44" fontId="6" fillId="3" borderId="5" xfId="0" applyNumberFormat="1" applyFont="1" applyFill="1" applyBorder="1"/>
    <xf numFmtId="166" fontId="1" fillId="5" borderId="3" xfId="0" applyNumberFormat="1" applyFont="1" applyFill="1" applyBorder="1"/>
    <xf numFmtId="0" fontId="6" fillId="5" borderId="0" xfId="0" applyFont="1" applyFill="1"/>
    <xf numFmtId="0" fontId="0" fillId="5" borderId="0" xfId="0" applyFill="1"/>
    <xf numFmtId="0" fontId="6" fillId="5" borderId="2" xfId="0" applyFont="1" applyFill="1" applyBorder="1"/>
    <xf numFmtId="0" fontId="0" fillId="5" borderId="2" xfId="0" applyFill="1" applyBorder="1"/>
    <xf numFmtId="164" fontId="6" fillId="5" borderId="3" xfId="0" applyNumberFormat="1" applyFont="1" applyFill="1" applyBorder="1"/>
    <xf numFmtId="14" fontId="1" fillId="5" borderId="4" xfId="0" applyNumberFormat="1" applyFont="1" applyFill="1" applyBorder="1"/>
    <xf numFmtId="164" fontId="6" fillId="5" borderId="5" xfId="0" applyNumberFormat="1" applyFont="1" applyFill="1" applyBorder="1"/>
    <xf numFmtId="14" fontId="3" fillId="5" borderId="8" xfId="0" applyNumberFormat="1" applyFont="1" applyFill="1" applyBorder="1"/>
    <xf numFmtId="0" fontId="0" fillId="5" borderId="9" xfId="0" applyFill="1" applyBorder="1"/>
    <xf numFmtId="164" fontId="6" fillId="5" borderId="7" xfId="0" applyNumberFormat="1" applyFont="1" applyFill="1" applyBorder="1"/>
    <xf numFmtId="0" fontId="9" fillId="2" borderId="4" xfId="0" applyFont="1" applyFill="1" applyBorder="1"/>
    <xf numFmtId="0" fontId="9" fillId="2" borderId="0" xfId="0" applyFont="1" applyFill="1"/>
    <xf numFmtId="164" fontId="9" fillId="2" borderId="5" xfId="0" applyNumberFormat="1" applyFont="1" applyFill="1" applyBorder="1"/>
    <xf numFmtId="0" fontId="0" fillId="2" borderId="4" xfId="0" applyFill="1" applyBorder="1"/>
    <xf numFmtId="0" fontId="0" fillId="2" borderId="0" xfId="0" applyFill="1"/>
    <xf numFmtId="14" fontId="9" fillId="2" borderId="4" xfId="0" applyNumberFormat="1" applyFont="1" applyFill="1" applyBorder="1"/>
    <xf numFmtId="0" fontId="6" fillId="2" borderId="0" xfId="0" applyFont="1" applyFill="1"/>
    <xf numFmtId="0" fontId="13" fillId="2" borderId="0" xfId="0" applyFont="1" applyFill="1"/>
    <xf numFmtId="164" fontId="6" fillId="2" borderId="5" xfId="0" applyNumberFormat="1" applyFont="1" applyFill="1" applyBorder="1"/>
    <xf numFmtId="0" fontId="5" fillId="5" borderId="0" xfId="0" applyFont="1" applyFill="1"/>
    <xf numFmtId="0" fontId="0" fillId="5" borderId="4" xfId="0" applyFill="1" applyBorder="1"/>
    <xf numFmtId="44" fontId="6" fillId="5" borderId="5" xfId="0" applyNumberFormat="1" applyFont="1" applyFill="1" applyBorder="1"/>
    <xf numFmtId="0" fontId="0" fillId="5" borderId="3" xfId="0" applyFill="1" applyBorder="1"/>
    <xf numFmtId="0" fontId="0" fillId="5" borderId="5" xfId="0" applyFill="1" applyBorder="1"/>
    <xf numFmtId="0" fontId="0" fillId="5" borderId="7" xfId="0" applyFill="1" applyBorder="1"/>
    <xf numFmtId="14" fontId="9" fillId="5" borderId="0" xfId="0" applyNumberFormat="1" applyFont="1" applyFill="1"/>
    <xf numFmtId="14" fontId="6" fillId="5" borderId="0" xfId="0" applyNumberFormat="1" applyFont="1" applyFill="1"/>
    <xf numFmtId="14" fontId="2" fillId="5" borderId="0" xfId="0" applyNumberFormat="1" applyFont="1" applyFill="1"/>
    <xf numFmtId="0" fontId="4" fillId="5" borderId="2" xfId="0" applyFont="1" applyFill="1" applyBorder="1"/>
    <xf numFmtId="165" fontId="6" fillId="0" borderId="0" xfId="0" applyNumberFormat="1" applyFont="1"/>
    <xf numFmtId="165" fontId="0" fillId="0" borderId="0" xfId="0" applyNumberFormat="1"/>
    <xf numFmtId="0" fontId="6" fillId="0" borderId="10" xfId="0" applyFont="1" applyBorder="1"/>
    <xf numFmtId="44" fontId="6" fillId="0" borderId="11" xfId="0" applyNumberFormat="1" applyFont="1" applyBorder="1"/>
    <xf numFmtId="0" fontId="6" fillId="0" borderId="11" xfId="0" applyFont="1" applyBorder="1"/>
    <xf numFmtId="44" fontId="6" fillId="0" borderId="12" xfId="0" applyNumberFormat="1" applyFont="1" applyBorder="1"/>
    <xf numFmtId="0" fontId="0" fillId="0" borderId="1" xfId="0" applyBorder="1"/>
    <xf numFmtId="0" fontId="0" fillId="0" borderId="3" xfId="0" applyBorder="1"/>
    <xf numFmtId="0" fontId="5" fillId="0" borderId="5" xfId="0" applyFont="1" applyBorder="1"/>
    <xf numFmtId="0" fontId="5" fillId="0" borderId="4" xfId="0" applyFont="1" applyBorder="1"/>
    <xf numFmtId="44" fontId="5" fillId="0" borderId="0" xfId="0" applyNumberFormat="1" applyFont="1"/>
    <xf numFmtId="44" fontId="0" fillId="0" borderId="5" xfId="0" applyNumberFormat="1" applyBorder="1"/>
    <xf numFmtId="44" fontId="0" fillId="0" borderId="9" xfId="0" applyNumberFormat="1" applyBorder="1"/>
    <xf numFmtId="44" fontId="0" fillId="0" borderId="7" xfId="0" applyNumberFormat="1" applyBorder="1"/>
    <xf numFmtId="0" fontId="13" fillId="0" borderId="4" xfId="0" applyFont="1" applyBorder="1"/>
    <xf numFmtId="0" fontId="17" fillId="5" borderId="2" xfId="0" applyFont="1" applyFill="1" applyBorder="1" applyAlignment="1">
      <alignment horizontal="distributed" vertical="distributed"/>
    </xf>
    <xf numFmtId="0" fontId="17" fillId="5" borderId="2" xfId="0" applyFont="1" applyFill="1" applyBorder="1"/>
    <xf numFmtId="44" fontId="6" fillId="5" borderId="0" xfId="0" applyNumberFormat="1" applyFont="1" applyFill="1"/>
    <xf numFmtId="0" fontId="18" fillId="0" borderId="0" xfId="0" applyFont="1"/>
    <xf numFmtId="44" fontId="6" fillId="0" borderId="0" xfId="0" applyNumberFormat="1" applyFont="1"/>
    <xf numFmtId="14" fontId="2" fillId="0" borderId="0" xfId="0" applyNumberFormat="1" applyFont="1"/>
    <xf numFmtId="14" fontId="6" fillId="0" borderId="0" xfId="0" applyNumberFormat="1" applyFont="1"/>
    <xf numFmtId="44" fontId="2" fillId="5" borderId="5" xfId="0" applyNumberFormat="1" applyFont="1" applyFill="1" applyBorder="1"/>
    <xf numFmtId="14" fontId="0" fillId="5" borderId="4" xfId="0" applyNumberFormat="1" applyFill="1" applyBorder="1"/>
    <xf numFmtId="14" fontId="2" fillId="5" borderId="4" xfId="0" applyNumberFormat="1" applyFont="1" applyFill="1" applyBorder="1"/>
    <xf numFmtId="0" fontId="2" fillId="5" borderId="0" xfId="0" applyFont="1" applyFill="1"/>
    <xf numFmtId="44" fontId="6" fillId="2" borderId="7" xfId="0" applyNumberFormat="1" applyFont="1" applyFill="1" applyBorder="1"/>
    <xf numFmtId="44" fontId="6" fillId="2" borderId="5" xfId="0" applyNumberFormat="1" applyFont="1" applyFill="1" applyBorder="1"/>
    <xf numFmtId="14" fontId="6" fillId="2" borderId="0" xfId="0" applyNumberFormat="1" applyFont="1" applyFill="1"/>
    <xf numFmtId="0" fontId="4" fillId="0" borderId="5" xfId="0" applyFont="1" applyBorder="1"/>
    <xf numFmtId="15" fontId="6" fillId="0" borderId="8" xfId="0" applyNumberFormat="1" applyFont="1" applyBorder="1"/>
    <xf numFmtId="15" fontId="6" fillId="0" borderId="9" xfId="0" applyNumberFormat="1" applyFont="1" applyBorder="1"/>
    <xf numFmtId="0" fontId="0" fillId="0" borderId="9" xfId="0" applyBorder="1"/>
    <xf numFmtId="0" fontId="0" fillId="0" borderId="7" xfId="0" applyBorder="1"/>
    <xf numFmtId="44" fontId="6" fillId="2" borderId="0" xfId="0" applyNumberFormat="1" applyFont="1" applyFill="1"/>
    <xf numFmtId="44" fontId="13" fillId="2" borderId="0" xfId="0" applyNumberFormat="1" applyFont="1" applyFill="1"/>
    <xf numFmtId="168" fontId="3" fillId="0" borderId="0" xfId="0" applyNumberFormat="1" applyFont="1"/>
    <xf numFmtId="14" fontId="19" fillId="0" borderId="0" xfId="0" applyNumberFormat="1" applyFont="1"/>
    <xf numFmtId="168" fontId="5" fillId="0" borderId="0" xfId="0" applyNumberFormat="1" applyFont="1"/>
    <xf numFmtId="0" fontId="21" fillId="0" borderId="0" xfId="0" applyFont="1"/>
    <xf numFmtId="0" fontId="4" fillId="5" borderId="1" xfId="0" applyFont="1" applyFill="1" applyBorder="1"/>
    <xf numFmtId="168" fontId="0" fillId="0" borderId="0" xfId="0" applyNumberFormat="1"/>
    <xf numFmtId="164" fontId="0" fillId="0" borderId="0" xfId="0" applyNumberFormat="1"/>
    <xf numFmtId="0" fontId="5" fillId="2" borderId="0" xfId="0" applyFont="1" applyFill="1"/>
    <xf numFmtId="14" fontId="6" fillId="3" borderId="0" xfId="0" applyNumberFormat="1" applyFont="1" applyFill="1"/>
    <xf numFmtId="15" fontId="6" fillId="2" borderId="0" xfId="0" applyNumberFormat="1" applyFont="1" applyFill="1"/>
    <xf numFmtId="44" fontId="0" fillId="6" borderId="5" xfId="0" applyNumberFormat="1" applyFill="1" applyBorder="1"/>
    <xf numFmtId="44" fontId="5" fillId="6" borderId="5" xfId="0" applyNumberFormat="1" applyFont="1" applyFill="1" applyBorder="1"/>
    <xf numFmtId="44" fontId="5" fillId="0" borderId="5" xfId="0" applyNumberFormat="1" applyFont="1" applyBorder="1"/>
    <xf numFmtId="0" fontId="13" fillId="2" borderId="4" xfId="0" applyFont="1" applyFill="1" applyBorder="1"/>
    <xf numFmtId="0" fontId="0" fillId="0" borderId="13" xfId="0" applyBorder="1"/>
    <xf numFmtId="15" fontId="0" fillId="0" borderId="14" xfId="0" applyNumberFormat="1" applyBorder="1"/>
    <xf numFmtId="0" fontId="5" fillId="0" borderId="14" xfId="0" applyFont="1" applyBorder="1"/>
    <xf numFmtId="0" fontId="0" fillId="0" borderId="14" xfId="0" applyBorder="1"/>
    <xf numFmtId="44" fontId="0" fillId="3" borderId="14" xfId="0" applyNumberFormat="1" applyFill="1" applyBorder="1"/>
    <xf numFmtId="44" fontId="0" fillId="0" borderId="14" xfId="0" applyNumberFormat="1" applyBorder="1"/>
    <xf numFmtId="44" fontId="6" fillId="0" borderId="15" xfId="0" applyNumberFormat="1" applyFont="1" applyBorder="1"/>
    <xf numFmtId="15" fontId="13" fillId="0" borderId="5" xfId="0" applyNumberFormat="1" applyFont="1" applyBorder="1"/>
    <xf numFmtId="16" fontId="5" fillId="0" borderId="5" xfId="0" applyNumberFormat="1" applyFont="1" applyBorder="1"/>
    <xf numFmtId="4" fontId="0" fillId="0" borderId="0" xfId="0" applyNumberFormat="1"/>
    <xf numFmtId="0" fontId="22" fillId="0" borderId="0" xfId="0" applyFont="1"/>
    <xf numFmtId="44" fontId="0" fillId="7" borderId="14" xfId="0" applyNumberFormat="1" applyFill="1" applyBorder="1"/>
    <xf numFmtId="44" fontId="0" fillId="7" borderId="5" xfId="0" applyNumberFormat="1" applyFill="1" applyBorder="1"/>
    <xf numFmtId="15" fontId="5" fillId="0" borderId="4" xfId="0" applyNumberFormat="1" applyFont="1" applyBorder="1"/>
    <xf numFmtId="15" fontId="5" fillId="0" borderId="0" xfId="0" applyNumberFormat="1" applyFont="1"/>
    <xf numFmtId="15" fontId="5" fillId="0" borderId="5" xfId="0" applyNumberFormat="1" applyFont="1" applyBorder="1"/>
    <xf numFmtId="15" fontId="13" fillId="0" borderId="4" xfId="0" applyNumberFormat="1" applyFont="1" applyBorder="1"/>
    <xf numFmtId="15" fontId="15" fillId="2" borderId="0" xfId="0" applyNumberFormat="1" applyFont="1" applyFill="1"/>
    <xf numFmtId="15" fontId="6" fillId="2" borderId="9" xfId="0" applyNumberFormat="1" applyFont="1" applyFill="1" applyBorder="1"/>
    <xf numFmtId="44" fontId="0" fillId="8" borderId="5" xfId="0" applyNumberFormat="1" applyFill="1" applyBorder="1"/>
    <xf numFmtId="44" fontId="0" fillId="9" borderId="5" xfId="0" applyNumberFormat="1" applyFill="1" applyBorder="1"/>
    <xf numFmtId="44" fontId="6" fillId="8" borderId="12" xfId="0" applyNumberFormat="1" applyFont="1" applyFill="1" applyBorder="1"/>
    <xf numFmtId="44" fontId="0" fillId="10" borderId="5" xfId="0" applyNumberFormat="1" applyFill="1" applyBorder="1"/>
    <xf numFmtId="44" fontId="5" fillId="9" borderId="4" xfId="0" applyNumberFormat="1" applyFont="1" applyFill="1" applyBorder="1"/>
    <xf numFmtId="0" fontId="15" fillId="0" borderId="1" xfId="0" applyFont="1" applyBorder="1"/>
    <xf numFmtId="0" fontId="15" fillId="0" borderId="2" xfId="0" applyFont="1" applyBorder="1"/>
    <xf numFmtId="0" fontId="23" fillId="0" borderId="2" xfId="0" applyFont="1" applyBorder="1"/>
    <xf numFmtId="168" fontId="23" fillId="0" borderId="2" xfId="0" applyNumberFormat="1" applyFont="1" applyBorder="1"/>
    <xf numFmtId="0" fontId="2" fillId="0" borderId="3" xfId="0" applyFont="1" applyBorder="1"/>
    <xf numFmtId="0" fontId="6" fillId="0" borderId="9" xfId="0" applyFont="1" applyBorder="1"/>
    <xf numFmtId="0" fontId="2" fillId="2" borderId="9" xfId="0" applyFont="1" applyFill="1" applyBorder="1"/>
    <xf numFmtId="168" fontId="2" fillId="2" borderId="9" xfId="0" applyNumberFormat="1" applyFont="1" applyFill="1" applyBorder="1"/>
    <xf numFmtId="168" fontId="2" fillId="0" borderId="9" xfId="0" applyNumberFormat="1" applyFont="1" applyBorder="1"/>
    <xf numFmtId="0" fontId="2" fillId="0" borderId="7" xfId="0" applyFont="1" applyBorder="1"/>
    <xf numFmtId="0" fontId="0" fillId="11" borderId="11" xfId="0" applyFill="1" applyBorder="1"/>
    <xf numFmtId="0" fontId="0" fillId="11" borderId="12" xfId="0" applyFill="1" applyBorder="1"/>
    <xf numFmtId="0" fontId="5" fillId="0" borderId="1" xfId="0" applyFont="1" applyBorder="1"/>
    <xf numFmtId="0" fontId="5" fillId="0" borderId="2" xfId="0" applyFont="1" applyBorder="1"/>
    <xf numFmtId="0" fontId="2" fillId="0" borderId="2" xfId="0" applyFont="1" applyBorder="1"/>
    <xf numFmtId="168" fontId="2" fillId="0" borderId="2" xfId="0" applyNumberFormat="1" applyFont="1" applyBorder="1"/>
    <xf numFmtId="0" fontId="0" fillId="11" borderId="1" xfId="0" applyFill="1" applyBorder="1"/>
    <xf numFmtId="0" fontId="0" fillId="11" borderId="2" xfId="0" applyFill="1" applyBorder="1"/>
    <xf numFmtId="0" fontId="0" fillId="11" borderId="3" xfId="0" applyFill="1" applyBorder="1"/>
    <xf numFmtId="0" fontId="0" fillId="11" borderId="0" xfId="0" applyFill="1"/>
    <xf numFmtId="0" fontId="0" fillId="11" borderId="5" xfId="0" applyFill="1" applyBorder="1"/>
    <xf numFmtId="0" fontId="0" fillId="11" borderId="4" xfId="0" applyFill="1" applyBorder="1"/>
    <xf numFmtId="0" fontId="3" fillId="0" borderId="4" xfId="0" applyFont="1" applyBorder="1"/>
    <xf numFmtId="0" fontId="2" fillId="0" borderId="5" xfId="0" applyFont="1" applyBorder="1"/>
    <xf numFmtId="168" fontId="3" fillId="11" borderId="4" xfId="0" applyNumberFormat="1" applyFont="1" applyFill="1" applyBorder="1"/>
    <xf numFmtId="168" fontId="3" fillId="11" borderId="0" xfId="0" applyNumberFormat="1" applyFont="1" applyFill="1"/>
    <xf numFmtId="168" fontId="3" fillId="11" borderId="5" xfId="0" applyNumberFormat="1" applyFont="1" applyFill="1" applyBorder="1"/>
    <xf numFmtId="14" fontId="5" fillId="0" borderId="0" xfId="0" applyNumberFormat="1" applyFont="1"/>
    <xf numFmtId="168" fontId="2" fillId="0" borderId="0" xfId="0" applyNumberFormat="1" applyFont="1"/>
    <xf numFmtId="14" fontId="19" fillId="0" borderId="5" xfId="0" applyNumberFormat="1" applyFont="1" applyBorder="1"/>
    <xf numFmtId="14" fontId="19" fillId="11" borderId="0" xfId="0" applyNumberFormat="1" applyFont="1" applyFill="1"/>
    <xf numFmtId="0" fontId="5" fillId="10" borderId="4" xfId="0" applyFont="1" applyFill="1" applyBorder="1"/>
    <xf numFmtId="44" fontId="5" fillId="10" borderId="5" xfId="0" applyNumberFormat="1" applyFont="1" applyFill="1" applyBorder="1"/>
    <xf numFmtId="0" fontId="0" fillId="10" borderId="5" xfId="0" applyFill="1" applyBorder="1"/>
    <xf numFmtId="168" fontId="5" fillId="10" borderId="0" xfId="0" applyNumberFormat="1" applyFont="1" applyFill="1"/>
    <xf numFmtId="168" fontId="5" fillId="0" borderId="5" xfId="0" applyNumberFormat="1" applyFont="1" applyBorder="1"/>
    <xf numFmtId="44" fontId="5" fillId="0" borderId="6" xfId="0" applyNumberFormat="1" applyFont="1" applyBorder="1"/>
    <xf numFmtId="0" fontId="0" fillId="10" borderId="0" xfId="0" applyFill="1"/>
    <xf numFmtId="0" fontId="0" fillId="0" borderId="16" xfId="0" applyBorder="1"/>
    <xf numFmtId="44" fontId="5" fillId="0" borderId="16" xfId="0" applyNumberFormat="1" applyFont="1" applyBorder="1"/>
    <xf numFmtId="0" fontId="2" fillId="0" borderId="16" xfId="0" applyFont="1" applyBorder="1"/>
    <xf numFmtId="168" fontId="5" fillId="0" borderId="16" xfId="0" applyNumberFormat="1" applyFont="1" applyBorder="1"/>
    <xf numFmtId="44" fontId="5" fillId="0" borderId="17" xfId="0" applyNumberFormat="1" applyFont="1" applyBorder="1"/>
    <xf numFmtId="0" fontId="2" fillId="0" borderId="17" xfId="0" applyFont="1" applyBorder="1"/>
    <xf numFmtId="0" fontId="5" fillId="0" borderId="17" xfId="0" applyFont="1" applyBorder="1"/>
    <xf numFmtId="44" fontId="0" fillId="0" borderId="17" xfId="0" applyNumberFormat="1" applyBorder="1"/>
    <xf numFmtId="44" fontId="5" fillId="0" borderId="18" xfId="0" applyNumberFormat="1" applyFont="1" applyBorder="1"/>
    <xf numFmtId="0" fontId="5" fillId="10" borderId="19" xfId="0" applyFont="1" applyFill="1" applyBorder="1"/>
    <xf numFmtId="44" fontId="5" fillId="10" borderId="17" xfId="0" applyNumberFormat="1" applyFont="1" applyFill="1" applyBorder="1"/>
    <xf numFmtId="0" fontId="0" fillId="10" borderId="18" xfId="0" applyFill="1" applyBorder="1"/>
    <xf numFmtId="0" fontId="5" fillId="10" borderId="17" xfId="0" applyFont="1" applyFill="1" applyBorder="1"/>
    <xf numFmtId="44" fontId="0" fillId="10" borderId="18" xfId="0" applyNumberFormat="1" applyFill="1" applyBorder="1"/>
    <xf numFmtId="0" fontId="5" fillId="0" borderId="8" xfId="0" applyFont="1" applyBorder="1"/>
    <xf numFmtId="0" fontId="5" fillId="0" borderId="9" xfId="0" applyFont="1" applyBorder="1"/>
    <xf numFmtId="0" fontId="2" fillId="0" borderId="9" xfId="0" applyFont="1" applyBorder="1"/>
    <xf numFmtId="165" fontId="5" fillId="0" borderId="9" xfId="0" applyNumberFormat="1" applyFont="1" applyBorder="1"/>
    <xf numFmtId="165" fontId="5" fillId="0" borderId="7" xfId="0" applyNumberFormat="1" applyFont="1" applyBorder="1"/>
    <xf numFmtId="0" fontId="5" fillId="10" borderId="8" xfId="0" applyFont="1" applyFill="1" applyBorder="1"/>
    <xf numFmtId="44" fontId="5" fillId="10" borderId="9" xfId="0" applyNumberFormat="1" applyFont="1" applyFill="1" applyBorder="1"/>
    <xf numFmtId="0" fontId="0" fillId="10" borderId="7" xfId="0" applyFill="1" applyBorder="1"/>
    <xf numFmtId="0" fontId="0" fillId="10" borderId="9" xfId="0" applyFill="1" applyBorder="1"/>
    <xf numFmtId="44" fontId="0" fillId="10" borderId="7" xfId="0" applyNumberFormat="1" applyFill="1" applyBorder="1"/>
    <xf numFmtId="168" fontId="5" fillId="0" borderId="9" xfId="0" applyNumberFormat="1" applyFont="1" applyBorder="1"/>
    <xf numFmtId="0" fontId="5" fillId="0" borderId="3" xfId="0" applyFont="1" applyBorder="1"/>
    <xf numFmtId="0" fontId="3" fillId="0" borderId="4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8" fontId="1" fillId="0" borderId="0" xfId="0" applyNumberFormat="1" applyFont="1"/>
    <xf numFmtId="0" fontId="1" fillId="0" borderId="5" xfId="0" applyFont="1" applyBorder="1"/>
    <xf numFmtId="0" fontId="19" fillId="0" borderId="0" xfId="0" applyFont="1" applyAlignment="1">
      <alignment horizontal="right"/>
    </xf>
    <xf numFmtId="0" fontId="19" fillId="0" borderId="5" xfId="0" applyFont="1" applyBorder="1" applyAlignment="1">
      <alignment horizontal="right"/>
    </xf>
    <xf numFmtId="0" fontId="13" fillId="0" borderId="0" xfId="0" applyFont="1"/>
    <xf numFmtId="168" fontId="5" fillId="0" borderId="20" xfId="0" applyNumberFormat="1" applyFont="1" applyBorder="1"/>
    <xf numFmtId="0" fontId="5" fillId="0" borderId="21" xfId="0" applyFont="1" applyBorder="1"/>
    <xf numFmtId="0" fontId="5" fillId="0" borderId="22" xfId="0" applyFont="1" applyBorder="1"/>
    <xf numFmtId="0" fontId="0" fillId="0" borderId="22" xfId="0" applyBorder="1"/>
    <xf numFmtId="165" fontId="5" fillId="0" borderId="22" xfId="0" applyNumberFormat="1" applyFont="1" applyBorder="1"/>
    <xf numFmtId="168" fontId="5" fillId="0" borderId="22" xfId="0" applyNumberFormat="1" applyFont="1" applyBorder="1"/>
    <xf numFmtId="44" fontId="5" fillId="0" borderId="23" xfId="0" applyNumberFormat="1" applyFont="1" applyBorder="1"/>
    <xf numFmtId="165" fontId="0" fillId="0" borderId="5" xfId="0" applyNumberFormat="1" applyBorder="1"/>
    <xf numFmtId="0" fontId="25" fillId="0" borderId="4" xfId="0" applyFont="1" applyBorder="1" applyAlignment="1">
      <alignment horizontal="center"/>
    </xf>
    <xf numFmtId="0" fontId="25" fillId="0" borderId="0" xfId="0" applyFont="1" applyAlignment="1">
      <alignment horizontal="center"/>
    </xf>
    <xf numFmtId="14" fontId="1" fillId="0" borderId="8" xfId="0" applyNumberFormat="1" applyFont="1" applyBorder="1"/>
    <xf numFmtId="14" fontId="1" fillId="0" borderId="9" xfId="0" applyNumberFormat="1" applyFont="1" applyBorder="1"/>
    <xf numFmtId="0" fontId="1" fillId="0" borderId="9" xfId="0" applyFont="1" applyBorder="1"/>
    <xf numFmtId="168" fontId="1" fillId="0" borderId="9" xfId="0" applyNumberFormat="1" applyFont="1" applyBorder="1"/>
    <xf numFmtId="168" fontId="13" fillId="9" borderId="0" xfId="0" applyNumberFormat="1" applyFont="1" applyFill="1"/>
    <xf numFmtId="14" fontId="5" fillId="0" borderId="4" xfId="0" applyNumberFormat="1" applyFont="1" applyBorder="1"/>
    <xf numFmtId="44" fontId="1" fillId="0" borderId="0" xfId="0" applyNumberFormat="1" applyFont="1"/>
    <xf numFmtId="0" fontId="6" fillId="9" borderId="0" xfId="0" applyFont="1" applyFill="1"/>
    <xf numFmtId="44" fontId="6" fillId="9" borderId="0" xfId="0" applyNumberFormat="1" applyFont="1" applyFill="1"/>
    <xf numFmtId="1" fontId="0" fillId="0" borderId="0" xfId="0" applyNumberFormat="1"/>
    <xf numFmtId="1" fontId="0" fillId="11" borderId="11" xfId="0" applyNumberFormat="1" applyFill="1" applyBorder="1"/>
    <xf numFmtId="1" fontId="0" fillId="11" borderId="0" xfId="0" applyNumberFormat="1" applyFill="1"/>
    <xf numFmtId="1" fontId="3" fillId="11" borderId="0" xfId="0" applyNumberFormat="1" applyFont="1" applyFill="1"/>
    <xf numFmtId="1" fontId="5" fillId="10" borderId="0" xfId="0" applyNumberFormat="1" applyFont="1" applyFill="1"/>
    <xf numFmtId="1" fontId="0" fillId="10" borderId="0" xfId="0" applyNumberFormat="1" applyFill="1"/>
    <xf numFmtId="1" fontId="5" fillId="10" borderId="17" xfId="0" applyNumberFormat="1" applyFont="1" applyFill="1" applyBorder="1"/>
    <xf numFmtId="1" fontId="0" fillId="10" borderId="9" xfId="0" applyNumberFormat="1" applyFill="1" applyBorder="1"/>
    <xf numFmtId="1" fontId="5" fillId="0" borderId="0" xfId="0" applyNumberFormat="1" applyFont="1"/>
    <xf numFmtId="1" fontId="6" fillId="0" borderId="0" xfId="0" applyNumberFormat="1" applyFont="1"/>
    <xf numFmtId="44" fontId="4" fillId="0" borderId="5" xfId="0" applyNumberFormat="1" applyFont="1" applyBorder="1"/>
    <xf numFmtId="14" fontId="6" fillId="2" borderId="4" xfId="0" applyNumberFormat="1" applyFont="1" applyFill="1" applyBorder="1"/>
    <xf numFmtId="0" fontId="13" fillId="12" borderId="24" xfId="0" applyFont="1" applyFill="1" applyBorder="1"/>
    <xf numFmtId="0" fontId="13" fillId="12" borderId="20" xfId="0" applyFont="1" applyFill="1" applyBorder="1"/>
    <xf numFmtId="44" fontId="13" fillId="12" borderId="20" xfId="0" applyNumberFormat="1" applyFont="1" applyFill="1" applyBorder="1"/>
    <xf numFmtId="44" fontId="13" fillId="0" borderId="20" xfId="0" applyNumberFormat="1" applyFont="1" applyBorder="1"/>
    <xf numFmtId="44" fontId="13" fillId="0" borderId="25" xfId="0" applyNumberFormat="1" applyFont="1" applyBorder="1"/>
    <xf numFmtId="44" fontId="0" fillId="0" borderId="4" xfId="0" applyNumberFormat="1" applyBorder="1"/>
    <xf numFmtId="44" fontId="5" fillId="0" borderId="19" xfId="0" applyNumberFormat="1" applyFont="1" applyBorder="1"/>
    <xf numFmtId="15" fontId="0" fillId="0" borderId="0" xfId="0" applyNumberFormat="1"/>
    <xf numFmtId="0" fontId="13" fillId="0" borderId="1" xfId="0" applyFont="1" applyBorder="1"/>
    <xf numFmtId="0" fontId="13" fillId="0" borderId="2" xfId="0" applyFont="1" applyBorder="1"/>
    <xf numFmtId="0" fontId="13" fillId="0" borderId="3" xfId="0" applyFont="1" applyBorder="1"/>
    <xf numFmtId="0" fontId="4" fillId="5" borderId="0" xfId="0" applyFont="1" applyFill="1"/>
    <xf numFmtId="0" fontId="17" fillId="5" borderId="0" xfId="0" applyFont="1" applyFill="1"/>
    <xf numFmtId="164" fontId="6" fillId="2" borderId="0" xfId="0" applyNumberFormat="1" applyFont="1" applyFill="1"/>
    <xf numFmtId="15" fontId="6" fillId="5" borderId="0" xfId="0" applyNumberFormat="1" applyFont="1" applyFill="1"/>
    <xf numFmtId="44" fontId="2" fillId="5" borderId="0" xfId="0" applyNumberFormat="1" applyFont="1" applyFill="1"/>
    <xf numFmtId="0" fontId="1" fillId="5" borderId="2" xfId="0" applyFont="1" applyFill="1" applyBorder="1"/>
    <xf numFmtId="14" fontId="3" fillId="2" borderId="4" xfId="0" applyNumberFormat="1" applyFont="1" applyFill="1" applyBorder="1"/>
    <xf numFmtId="15" fontId="15" fillId="2" borderId="4" xfId="0" applyNumberFormat="1" applyFont="1" applyFill="1" applyBorder="1"/>
    <xf numFmtId="14" fontId="11" fillId="5" borderId="1" xfId="0" applyNumberFormat="1" applyFont="1" applyFill="1" applyBorder="1"/>
    <xf numFmtId="14" fontId="1" fillId="2" borderId="4" xfId="0" applyNumberFormat="1" applyFont="1" applyFill="1" applyBorder="1"/>
    <xf numFmtId="166" fontId="6" fillId="2" borderId="5" xfId="0" applyNumberFormat="1" applyFont="1" applyFill="1" applyBorder="1"/>
    <xf numFmtId="0" fontId="6" fillId="5" borderId="1" xfId="0" applyFont="1" applyFill="1" applyBorder="1"/>
    <xf numFmtId="164" fontId="9" fillId="5" borderId="3" xfId="0" applyNumberFormat="1" applyFont="1" applyFill="1" applyBorder="1"/>
    <xf numFmtId="15" fontId="6" fillId="5" borderId="4" xfId="0" applyNumberFormat="1" applyFont="1" applyFill="1" applyBorder="1"/>
    <xf numFmtId="15" fontId="6" fillId="2" borderId="8" xfId="0" applyNumberFormat="1" applyFont="1" applyFill="1" applyBorder="1"/>
    <xf numFmtId="0" fontId="5" fillId="5" borderId="5" xfId="0" applyFont="1" applyFill="1" applyBorder="1"/>
    <xf numFmtId="15" fontId="6" fillId="2" borderId="4" xfId="0" applyNumberFormat="1" applyFont="1" applyFill="1" applyBorder="1"/>
    <xf numFmtId="44" fontId="6" fillId="3" borderId="4" xfId="0" applyNumberFormat="1" applyFont="1" applyFill="1" applyBorder="1"/>
    <xf numFmtId="0" fontId="4" fillId="5" borderId="4" xfId="0" applyFont="1" applyFill="1" applyBorder="1"/>
    <xf numFmtId="15" fontId="2" fillId="3" borderId="4" xfId="0" applyNumberFormat="1" applyFont="1" applyFill="1" applyBorder="1"/>
    <xf numFmtId="14" fontId="9" fillId="5" borderId="8" xfId="0" applyNumberFormat="1" applyFont="1" applyFill="1" applyBorder="1"/>
    <xf numFmtId="14" fontId="6" fillId="5" borderId="9" xfId="0" applyNumberFormat="1" applyFont="1" applyFill="1" applyBorder="1"/>
    <xf numFmtId="0" fontId="18" fillId="5" borderId="2" xfId="0" applyFont="1" applyFill="1" applyBorder="1"/>
    <xf numFmtId="0" fontId="4" fillId="5" borderId="3" xfId="0" applyFont="1" applyFill="1" applyBorder="1"/>
    <xf numFmtId="14" fontId="6" fillId="2" borderId="8" xfId="0" applyNumberFormat="1" applyFont="1" applyFill="1" applyBorder="1"/>
    <xf numFmtId="14" fontId="6" fillId="2" borderId="9" xfId="0" applyNumberFormat="1" applyFont="1" applyFill="1" applyBorder="1"/>
    <xf numFmtId="0" fontId="20" fillId="5" borderId="2" xfId="0" applyFont="1" applyFill="1" applyBorder="1"/>
    <xf numFmtId="2" fontId="2" fillId="5" borderId="0" xfId="0" applyNumberFormat="1" applyFont="1" applyFill="1"/>
    <xf numFmtId="0" fontId="13" fillId="5" borderId="0" xfId="0" applyFont="1" applyFill="1"/>
    <xf numFmtId="14" fontId="6" fillId="5" borderId="4" xfId="0" applyNumberFormat="1" applyFont="1" applyFill="1" applyBorder="1"/>
    <xf numFmtId="14" fontId="3" fillId="5" borderId="0" xfId="0" applyNumberFormat="1" applyFont="1" applyFill="1"/>
    <xf numFmtId="14" fontId="3" fillId="5" borderId="4" xfId="0" applyNumberFormat="1" applyFont="1" applyFill="1" applyBorder="1"/>
    <xf numFmtId="0" fontId="5" fillId="10" borderId="0" xfId="0" applyFont="1" applyFill="1"/>
    <xf numFmtId="0" fontId="16" fillId="11" borderId="10" xfId="0" applyFont="1" applyFill="1" applyBorder="1"/>
    <xf numFmtId="15" fontId="0" fillId="0" borderId="4" xfId="0" applyNumberFormat="1" applyBorder="1"/>
    <xf numFmtId="44" fontId="5" fillId="0" borderId="4" xfId="0" applyNumberFormat="1" applyFont="1" applyBorder="1"/>
    <xf numFmtId="44" fontId="0" fillId="2" borderId="5" xfId="0" applyNumberFormat="1" applyFill="1" applyBorder="1"/>
    <xf numFmtId="44" fontId="6" fillId="2" borderId="12" xfId="0" applyNumberFormat="1" applyFont="1" applyFill="1" applyBorder="1"/>
    <xf numFmtId="44" fontId="0" fillId="13" borderId="5" xfId="0" applyNumberFormat="1" applyFill="1" applyBorder="1"/>
    <xf numFmtId="16" fontId="13" fillId="0" borderId="0" xfId="0" applyNumberFormat="1" applyFont="1"/>
    <xf numFmtId="16" fontId="13" fillId="5" borderId="4" xfId="0" applyNumberFormat="1" applyFont="1" applyFill="1" applyBorder="1"/>
    <xf numFmtId="0" fontId="13" fillId="5" borderId="5" xfId="0" applyFont="1" applyFill="1" applyBorder="1"/>
    <xf numFmtId="15" fontId="13" fillId="5" borderId="4" xfId="0" applyNumberFormat="1" applyFont="1" applyFill="1" applyBorder="1"/>
    <xf numFmtId="0" fontId="13" fillId="2" borderId="5" xfId="0" applyFont="1" applyFill="1" applyBorder="1"/>
    <xf numFmtId="14" fontId="3" fillId="2" borderId="0" xfId="0" applyNumberFormat="1" applyFont="1" applyFill="1"/>
    <xf numFmtId="15" fontId="6" fillId="0" borderId="4" xfId="0" applyNumberFormat="1" applyFont="1" applyBorder="1"/>
    <xf numFmtId="15" fontId="6" fillId="0" borderId="0" xfId="0" applyNumberFormat="1" applyFont="1"/>
    <xf numFmtId="44" fontId="6" fillId="0" borderId="5" xfId="0" applyNumberFormat="1" applyFont="1" applyBorder="1"/>
    <xf numFmtId="0" fontId="9" fillId="2" borderId="9" xfId="0" applyFont="1" applyFill="1" applyBorder="1"/>
    <xf numFmtId="44" fontId="0" fillId="3" borderId="0" xfId="0" applyNumberFormat="1" applyFill="1"/>
    <xf numFmtId="15" fontId="0" fillId="5" borderId="4" xfId="0" applyNumberFormat="1" applyFill="1" applyBorder="1"/>
    <xf numFmtId="44" fontId="13" fillId="0" borderId="0" xfId="0" applyNumberFormat="1" applyFont="1"/>
    <xf numFmtId="44" fontId="15" fillId="0" borderId="0" xfId="0" applyNumberFormat="1" applyFont="1"/>
    <xf numFmtId="44" fontId="22" fillId="0" borderId="0" xfId="0" applyNumberFormat="1" applyFont="1"/>
    <xf numFmtId="0" fontId="0" fillId="14" borderId="0" xfId="0" applyFill="1"/>
    <xf numFmtId="0" fontId="0" fillId="2" borderId="1" xfId="0" applyFill="1" applyBorder="1"/>
    <xf numFmtId="44" fontId="0" fillId="2" borderId="3" xfId="0" applyNumberFormat="1" applyFill="1" applyBorder="1"/>
    <xf numFmtId="44" fontId="0" fillId="2" borderId="4" xfId="0" applyNumberFormat="1" applyFill="1" applyBorder="1"/>
    <xf numFmtId="0" fontId="5" fillId="2" borderId="4" xfId="0" applyFont="1" applyFill="1" applyBorder="1"/>
    <xf numFmtId="0" fontId="16" fillId="11" borderId="11" xfId="0" applyFont="1" applyFill="1" applyBorder="1"/>
    <xf numFmtId="1" fontId="0" fillId="2" borderId="0" xfId="0" applyNumberFormat="1" applyFill="1"/>
    <xf numFmtId="44" fontId="5" fillId="0" borderId="9" xfId="0" applyNumberFormat="1" applyFont="1" applyBorder="1"/>
    <xf numFmtId="44" fontId="5" fillId="10" borderId="0" xfId="0" applyNumberFormat="1" applyFont="1" applyFill="1"/>
    <xf numFmtId="170" fontId="0" fillId="0" borderId="0" xfId="0" applyNumberFormat="1"/>
    <xf numFmtId="170" fontId="0" fillId="11" borderId="11" xfId="0" applyNumberFormat="1" applyFill="1" applyBorder="1"/>
    <xf numFmtId="170" fontId="0" fillId="11" borderId="0" xfId="0" applyNumberFormat="1" applyFill="1"/>
    <xf numFmtId="170" fontId="5" fillId="10" borderId="0" xfId="0" applyNumberFormat="1" applyFont="1" applyFill="1"/>
    <xf numFmtId="170" fontId="0" fillId="10" borderId="0" xfId="0" applyNumberFormat="1" applyFill="1"/>
    <xf numFmtId="170" fontId="5" fillId="0" borderId="0" xfId="0" applyNumberFormat="1" applyFont="1"/>
    <xf numFmtId="170" fontId="6" fillId="0" borderId="0" xfId="0" applyNumberFormat="1" applyFont="1"/>
    <xf numFmtId="170" fontId="5" fillId="15" borderId="0" xfId="0" applyNumberFormat="1" applyFont="1" applyFill="1"/>
    <xf numFmtId="170" fontId="5" fillId="2" borderId="0" xfId="0" applyNumberFormat="1" applyFont="1" applyFill="1"/>
    <xf numFmtId="0" fontId="8" fillId="10" borderId="4" xfId="0" applyFont="1" applyFill="1" applyBorder="1"/>
    <xf numFmtId="168" fontId="6" fillId="10" borderId="0" xfId="0" applyNumberFormat="1" applyFont="1" applyFill="1"/>
    <xf numFmtId="1" fontId="6" fillId="10" borderId="0" xfId="0" applyNumberFormat="1" applyFont="1" applyFill="1"/>
    <xf numFmtId="170" fontId="6" fillId="10" borderId="0" xfId="0" applyNumberFormat="1" applyFont="1" applyFill="1"/>
    <xf numFmtId="14" fontId="6" fillId="2" borderId="1" xfId="0" applyNumberFormat="1" applyFont="1" applyFill="1" applyBorder="1"/>
    <xf numFmtId="14" fontId="6" fillId="2" borderId="2" xfId="0" applyNumberFormat="1" applyFont="1" applyFill="1" applyBorder="1"/>
    <xf numFmtId="44" fontId="6" fillId="2" borderId="3" xfId="0" applyNumberFormat="1" applyFont="1" applyFill="1" applyBorder="1"/>
    <xf numFmtId="49" fontId="3" fillId="5" borderId="4" xfId="0" applyNumberFormat="1" applyFont="1" applyFill="1" applyBorder="1"/>
    <xf numFmtId="16" fontId="13" fillId="2" borderId="4" xfId="0" applyNumberFormat="1" applyFont="1" applyFill="1" applyBorder="1"/>
    <xf numFmtId="44" fontId="0" fillId="0" borderId="2" xfId="0" applyNumberFormat="1" applyBorder="1"/>
    <xf numFmtId="168" fontId="2" fillId="0" borderId="3" xfId="0" applyNumberFormat="1" applyFont="1" applyBorder="1"/>
    <xf numFmtId="168" fontId="3" fillId="0" borderId="5" xfId="0" applyNumberFormat="1" applyFont="1" applyBorder="1"/>
    <xf numFmtId="168" fontId="2" fillId="0" borderId="5" xfId="0" applyNumberFormat="1" applyFont="1" applyBorder="1"/>
    <xf numFmtId="168" fontId="13" fillId="9" borderId="5" xfId="0" applyNumberFormat="1" applyFont="1" applyFill="1" applyBorder="1"/>
    <xf numFmtId="168" fontId="5" fillId="0" borderId="6" xfId="0" applyNumberFormat="1" applyFont="1" applyBorder="1"/>
    <xf numFmtId="0" fontId="5" fillId="0" borderId="7" xfId="0" applyFont="1" applyBorder="1"/>
    <xf numFmtId="44" fontId="1" fillId="0" borderId="5" xfId="0" applyNumberFormat="1" applyFont="1" applyBorder="1"/>
    <xf numFmtId="44" fontId="13" fillId="12" borderId="25" xfId="0" applyNumberFormat="1" applyFont="1" applyFill="1" applyBorder="1"/>
    <xf numFmtId="0" fontId="5" fillId="0" borderId="23" xfId="0" applyFont="1" applyBorder="1"/>
    <xf numFmtId="0" fontId="5" fillId="2" borderId="10" xfId="0" applyFont="1" applyFill="1" applyBorder="1"/>
    <xf numFmtId="44" fontId="0" fillId="2" borderId="12" xfId="0" applyNumberFormat="1" applyFill="1" applyBorder="1"/>
    <xf numFmtId="1" fontId="3" fillId="11" borderId="5" xfId="0" applyNumberFormat="1" applyFont="1" applyFill="1" applyBorder="1"/>
    <xf numFmtId="14" fontId="19" fillId="11" borderId="5" xfId="0" applyNumberFormat="1" applyFont="1" applyFill="1" applyBorder="1"/>
    <xf numFmtId="0" fontId="5" fillId="10" borderId="9" xfId="0" applyFont="1" applyFill="1" applyBorder="1"/>
    <xf numFmtId="44" fontId="5" fillId="10" borderId="7" xfId="0" applyNumberFormat="1" applyFont="1" applyFill="1" applyBorder="1"/>
    <xf numFmtId="170" fontId="8" fillId="2" borderId="2" xfId="0" applyNumberFormat="1" applyFont="1" applyFill="1" applyBorder="1"/>
    <xf numFmtId="170" fontId="0" fillId="2" borderId="2" xfId="0" applyNumberFormat="1" applyFill="1" applyBorder="1"/>
    <xf numFmtId="0" fontId="8" fillId="2" borderId="2" xfId="0" applyFont="1" applyFill="1" applyBorder="1"/>
    <xf numFmtId="0" fontId="8" fillId="2" borderId="3" xfId="0" applyFont="1" applyFill="1" applyBorder="1"/>
    <xf numFmtId="0" fontId="8" fillId="15" borderId="9" xfId="0" applyFont="1" applyFill="1" applyBorder="1"/>
    <xf numFmtId="170" fontId="8" fillId="15" borderId="9" xfId="0" applyNumberFormat="1" applyFont="1" applyFill="1" applyBorder="1"/>
    <xf numFmtId="170" fontId="0" fillId="15" borderId="9" xfId="0" applyNumberFormat="1" applyFill="1" applyBorder="1"/>
    <xf numFmtId="0" fontId="8" fillId="15" borderId="7" xfId="0" applyFont="1" applyFill="1" applyBorder="1"/>
    <xf numFmtId="0" fontId="13" fillId="10" borderId="10" xfId="0" applyFont="1" applyFill="1" applyBorder="1"/>
    <xf numFmtId="44" fontId="13" fillId="10" borderId="11" xfId="0" applyNumberFormat="1" applyFont="1" applyFill="1" applyBorder="1"/>
    <xf numFmtId="0" fontId="13" fillId="10" borderId="26" xfId="0" applyFont="1" applyFill="1" applyBorder="1"/>
    <xf numFmtId="0" fontId="13" fillId="10" borderId="27" xfId="0" applyFont="1" applyFill="1" applyBorder="1"/>
    <xf numFmtId="1" fontId="13" fillId="10" borderId="27" xfId="0" applyNumberFormat="1" applyFont="1" applyFill="1" applyBorder="1"/>
    <xf numFmtId="170" fontId="13" fillId="10" borderId="27" xfId="0" applyNumberFormat="1" applyFont="1" applyFill="1" applyBorder="1"/>
    <xf numFmtId="44" fontId="13" fillId="10" borderId="28" xfId="0" applyNumberFormat="1" applyFont="1" applyFill="1" applyBorder="1"/>
    <xf numFmtId="0" fontId="0" fillId="10" borderId="29" xfId="0" applyFill="1" applyBorder="1"/>
    <xf numFmtId="170" fontId="0" fillId="10" borderId="9" xfId="0" applyNumberFormat="1" applyFill="1" applyBorder="1"/>
    <xf numFmtId="168" fontId="8" fillId="2" borderId="1" xfId="0" applyNumberFormat="1" applyFont="1" applyFill="1" applyBorder="1"/>
    <xf numFmtId="0" fontId="8" fillId="15" borderId="8" xfId="0" applyFont="1" applyFill="1" applyBorder="1"/>
    <xf numFmtId="0" fontId="5" fillId="0" borderId="10" xfId="0" applyFont="1" applyBorder="1"/>
    <xf numFmtId="44" fontId="0" fillId="0" borderId="12" xfId="0" applyNumberFormat="1" applyBorder="1"/>
    <xf numFmtId="0" fontId="13" fillId="16" borderId="1" xfId="0" applyFont="1" applyFill="1" applyBorder="1"/>
    <xf numFmtId="44" fontId="13" fillId="16" borderId="3" xfId="0" applyNumberFormat="1" applyFont="1" applyFill="1" applyBorder="1"/>
    <xf numFmtId="0" fontId="13" fillId="16" borderId="4" xfId="0" applyFont="1" applyFill="1" applyBorder="1"/>
    <xf numFmtId="168" fontId="13" fillId="16" borderId="5" xfId="0" applyNumberFormat="1" applyFont="1" applyFill="1" applyBorder="1"/>
    <xf numFmtId="44" fontId="13" fillId="16" borderId="5" xfId="0" applyNumberFormat="1" applyFont="1" applyFill="1" applyBorder="1"/>
    <xf numFmtId="0" fontId="13" fillId="16" borderId="5" xfId="0" applyFont="1" applyFill="1" applyBorder="1"/>
    <xf numFmtId="0" fontId="13" fillId="16" borderId="10" xfId="0" applyFont="1" applyFill="1" applyBorder="1"/>
    <xf numFmtId="168" fontId="13" fillId="16" borderId="12" xfId="0" applyNumberFormat="1" applyFont="1" applyFill="1" applyBorder="1"/>
    <xf numFmtId="0" fontId="8" fillId="15" borderId="1" xfId="0" applyFont="1" applyFill="1" applyBorder="1"/>
    <xf numFmtId="44" fontId="8" fillId="15" borderId="2" xfId="0" applyNumberFormat="1" applyFont="1" applyFill="1" applyBorder="1"/>
    <xf numFmtId="44" fontId="8" fillId="15" borderId="9" xfId="0" applyNumberFormat="1" applyFont="1" applyFill="1" applyBorder="1"/>
    <xf numFmtId="16" fontId="0" fillId="0" borderId="0" xfId="0" applyNumberFormat="1"/>
    <xf numFmtId="0" fontId="0" fillId="17" borderId="0" xfId="0" applyFill="1"/>
    <xf numFmtId="0" fontId="5" fillId="17" borderId="0" xfId="0" applyFont="1" applyFill="1"/>
    <xf numFmtId="0" fontId="5" fillId="18" borderId="0" xfId="0" applyFont="1" applyFill="1"/>
    <xf numFmtId="0" fontId="0" fillId="18" borderId="0" xfId="0" applyFill="1"/>
    <xf numFmtId="0" fontId="14" fillId="14" borderId="0" xfId="0" applyFont="1" applyFill="1"/>
    <xf numFmtId="0" fontId="6" fillId="14" borderId="0" xfId="0" applyFont="1" applyFill="1"/>
    <xf numFmtId="14" fontId="3" fillId="3" borderId="4" xfId="0" applyNumberFormat="1" applyFont="1" applyFill="1" applyBorder="1"/>
    <xf numFmtId="14" fontId="3" fillId="3" borderId="0" xfId="0" applyNumberFormat="1" applyFont="1" applyFill="1"/>
    <xf numFmtId="0" fontId="9" fillId="3" borderId="9" xfId="0" applyFont="1" applyFill="1" applyBorder="1"/>
    <xf numFmtId="0" fontId="9" fillId="3" borderId="0" xfId="0" applyFont="1" applyFill="1"/>
    <xf numFmtId="14" fontId="3" fillId="3" borderId="10" xfId="0" applyNumberFormat="1" applyFont="1" applyFill="1" applyBorder="1"/>
    <xf numFmtId="14" fontId="3" fillId="3" borderId="11" xfId="0" applyNumberFormat="1" applyFont="1" applyFill="1" applyBorder="1"/>
    <xf numFmtId="164" fontId="6" fillId="3" borderId="12" xfId="0" applyNumberFormat="1" applyFont="1" applyFill="1" applyBorder="1"/>
    <xf numFmtId="14" fontId="3" fillId="5" borderId="1" xfId="0" applyNumberFormat="1" applyFont="1" applyFill="1" applyBorder="1"/>
    <xf numFmtId="14" fontId="4" fillId="0" borderId="4" xfId="0" applyNumberFormat="1" applyFont="1" applyBorder="1"/>
    <xf numFmtId="44" fontId="5" fillId="0" borderId="2" xfId="0" applyNumberFormat="1" applyFont="1" applyBorder="1"/>
    <xf numFmtId="44" fontId="8" fillId="0" borderId="0" xfId="0" applyNumberFormat="1" applyFont="1"/>
    <xf numFmtId="44" fontId="6" fillId="0" borderId="10" xfId="0" applyNumberFormat="1" applyFont="1" applyBorder="1"/>
    <xf numFmtId="44" fontId="5" fillId="2" borderId="0" xfId="0" applyNumberFormat="1" applyFont="1" applyFill="1"/>
    <xf numFmtId="0" fontId="0" fillId="0" borderId="8" xfId="0" applyBorder="1"/>
    <xf numFmtId="168" fontId="5" fillId="10" borderId="4" xfId="0" applyNumberFormat="1" applyFont="1" applyFill="1" applyBorder="1"/>
    <xf numFmtId="0" fontId="0" fillId="10" borderId="4" xfId="0" applyFill="1" applyBorder="1"/>
    <xf numFmtId="0" fontId="13" fillId="2" borderId="8" xfId="0" applyFont="1" applyFill="1" applyBorder="1"/>
    <xf numFmtId="44" fontId="13" fillId="2" borderId="9" xfId="0" applyNumberFormat="1" applyFont="1" applyFill="1" applyBorder="1"/>
    <xf numFmtId="0" fontId="27" fillId="4" borderId="4" xfId="0" applyFont="1" applyFill="1" applyBorder="1"/>
    <xf numFmtId="44" fontId="27" fillId="4" borderId="4" xfId="0" applyNumberFormat="1" applyFont="1" applyFill="1" applyBorder="1"/>
    <xf numFmtId="44" fontId="27" fillId="4" borderId="8" xfId="0" applyNumberFormat="1" applyFont="1" applyFill="1" applyBorder="1"/>
    <xf numFmtId="0" fontId="27" fillId="4" borderId="1" xfId="0" applyFont="1" applyFill="1" applyBorder="1"/>
    <xf numFmtId="14" fontId="3" fillId="2" borderId="1" xfId="0" applyNumberFormat="1" applyFont="1" applyFill="1" applyBorder="1"/>
    <xf numFmtId="14" fontId="3" fillId="2" borderId="2" xfId="0" applyNumberFormat="1" applyFont="1" applyFill="1" applyBorder="1"/>
    <xf numFmtId="164" fontId="6" fillId="2" borderId="3" xfId="0" applyNumberFormat="1" applyFont="1" applyFill="1" applyBorder="1"/>
    <xf numFmtId="14" fontId="3" fillId="2" borderId="8" xfId="0" applyNumberFormat="1" applyFont="1" applyFill="1" applyBorder="1"/>
    <xf numFmtId="14" fontId="3" fillId="2" borderId="9" xfId="0" applyNumberFormat="1" applyFont="1" applyFill="1" applyBorder="1"/>
    <xf numFmtId="0" fontId="20" fillId="0" borderId="0" xfId="0" applyFont="1"/>
    <xf numFmtId="44" fontId="2" fillId="0" borderId="0" xfId="0" applyNumberFormat="1" applyFont="1"/>
    <xf numFmtId="0" fontId="30" fillId="0" borderId="0" xfId="0" applyFont="1"/>
    <xf numFmtId="44" fontId="30" fillId="0" borderId="0" xfId="0" applyNumberFormat="1" applyFont="1"/>
    <xf numFmtId="164" fontId="3" fillId="2" borderId="4" xfId="0" applyNumberFormat="1" applyFont="1" applyFill="1" applyBorder="1"/>
    <xf numFmtId="44" fontId="6" fillId="14" borderId="5" xfId="0" applyNumberFormat="1" applyFont="1" applyFill="1" applyBorder="1"/>
    <xf numFmtId="44" fontId="13" fillId="14" borderId="5" xfId="0" applyNumberFormat="1" applyFont="1" applyFill="1" applyBorder="1"/>
    <xf numFmtId="44" fontId="6" fillId="14" borderId="0" xfId="0" applyNumberFormat="1" applyFont="1" applyFill="1"/>
    <xf numFmtId="44" fontId="0" fillId="10" borderId="0" xfId="0" applyNumberFormat="1" applyFill="1"/>
    <xf numFmtId="44" fontId="6" fillId="10" borderId="0" xfId="0" applyNumberFormat="1" applyFont="1" applyFill="1"/>
    <xf numFmtId="170" fontId="13" fillId="12" borderId="20" xfId="0" applyNumberFormat="1" applyFont="1" applyFill="1" applyBorder="1"/>
    <xf numFmtId="170" fontId="6" fillId="9" borderId="0" xfId="0" applyNumberFormat="1" applyFont="1" applyFill="1"/>
    <xf numFmtId="44" fontId="13" fillId="14" borderId="0" xfId="0" applyNumberFormat="1" applyFont="1" applyFill="1"/>
    <xf numFmtId="0" fontId="8" fillId="0" borderId="8" xfId="0" applyFont="1" applyBorder="1"/>
    <xf numFmtId="0" fontId="8" fillId="0" borderId="9" xfId="0" applyFont="1" applyBorder="1"/>
    <xf numFmtId="44" fontId="8" fillId="0" borderId="9" xfId="0" applyNumberFormat="1" applyFont="1" applyBorder="1"/>
    <xf numFmtId="3" fontId="8" fillId="0" borderId="9" xfId="0" applyNumberFormat="1" applyFont="1" applyBorder="1"/>
    <xf numFmtId="170" fontId="8" fillId="0" borderId="9" xfId="0" applyNumberFormat="1" applyFont="1" applyBorder="1"/>
    <xf numFmtId="170" fontId="0" fillId="0" borderId="9" xfId="0" applyNumberFormat="1" applyBorder="1"/>
    <xf numFmtId="0" fontId="8" fillId="0" borderId="7" xfId="0" applyFont="1" applyBorder="1"/>
    <xf numFmtId="0" fontId="0" fillId="10" borderId="14" xfId="0" applyFill="1" applyBorder="1"/>
    <xf numFmtId="168" fontId="8" fillId="0" borderId="0" xfId="0" applyNumberFormat="1" applyFont="1"/>
    <xf numFmtId="170" fontId="8" fillId="0" borderId="0" xfId="0" applyNumberFormat="1" applyFont="1"/>
    <xf numFmtId="168" fontId="13" fillId="0" borderId="0" xfId="0" applyNumberFormat="1" applyFont="1"/>
    <xf numFmtId="0" fontId="6" fillId="0" borderId="5" xfId="0" applyFont="1" applyBorder="1"/>
    <xf numFmtId="0" fontId="0" fillId="0" borderId="12" xfId="0" applyBorder="1"/>
    <xf numFmtId="0" fontId="13" fillId="10" borderId="1" xfId="0" applyFont="1" applyFill="1" applyBorder="1"/>
    <xf numFmtId="44" fontId="13" fillId="10" borderId="2" xfId="0" applyNumberFormat="1" applyFont="1" applyFill="1" applyBorder="1"/>
    <xf numFmtId="1" fontId="13" fillId="10" borderId="2" xfId="0" applyNumberFormat="1" applyFont="1" applyFill="1" applyBorder="1"/>
    <xf numFmtId="170" fontId="13" fillId="10" borderId="2" xfId="0" applyNumberFormat="1" applyFont="1" applyFill="1" applyBorder="1"/>
    <xf numFmtId="0" fontId="5" fillId="10" borderId="1" xfId="0" applyFont="1" applyFill="1" applyBorder="1"/>
    <xf numFmtId="0" fontId="5" fillId="10" borderId="2" xfId="0" applyFont="1" applyFill="1" applyBorder="1"/>
    <xf numFmtId="0" fontId="0" fillId="10" borderId="13" xfId="0" applyFill="1" applyBorder="1"/>
    <xf numFmtId="0" fontId="0" fillId="10" borderId="2" xfId="0" applyFill="1" applyBorder="1"/>
    <xf numFmtId="1" fontId="0" fillId="10" borderId="2" xfId="0" applyNumberFormat="1" applyFill="1" applyBorder="1"/>
    <xf numFmtId="170" fontId="0" fillId="10" borderId="2" xfId="0" applyNumberFormat="1" applyFill="1" applyBorder="1"/>
    <xf numFmtId="0" fontId="8" fillId="0" borderId="4" xfId="0" applyFont="1" applyBorder="1"/>
    <xf numFmtId="0" fontId="8" fillId="0" borderId="5" xfId="0" applyFont="1" applyBorder="1"/>
    <xf numFmtId="0" fontId="13" fillId="10" borderId="2" xfId="0" applyFont="1" applyFill="1" applyBorder="1"/>
    <xf numFmtId="0" fontId="0" fillId="11" borderId="15" xfId="0" applyFill="1" applyBorder="1"/>
    <xf numFmtId="0" fontId="0" fillId="11" borderId="13" xfId="0" applyFill="1" applyBorder="1"/>
    <xf numFmtId="0" fontId="0" fillId="11" borderId="14" xfId="0" applyFill="1" applyBorder="1"/>
    <xf numFmtId="168" fontId="3" fillId="11" borderId="14" xfId="0" applyNumberFormat="1" applyFont="1" applyFill="1" applyBorder="1"/>
    <xf numFmtId="0" fontId="13" fillId="10" borderId="13" xfId="0" applyFont="1" applyFill="1" applyBorder="1"/>
    <xf numFmtId="0" fontId="0" fillId="0" borderId="29" xfId="0" applyBorder="1"/>
    <xf numFmtId="44" fontId="5" fillId="0" borderId="7" xfId="0" applyNumberFormat="1" applyFont="1" applyBorder="1"/>
    <xf numFmtId="44" fontId="5" fillId="0" borderId="3" xfId="0" applyNumberFormat="1" applyFont="1" applyBorder="1"/>
    <xf numFmtId="170" fontId="13" fillId="12" borderId="25" xfId="0" applyNumberFormat="1" applyFont="1" applyFill="1" applyBorder="1"/>
    <xf numFmtId="170" fontId="0" fillId="0" borderId="5" xfId="0" applyNumberFormat="1" applyBorder="1"/>
    <xf numFmtId="44" fontId="3" fillId="0" borderId="5" xfId="0" applyNumberFormat="1" applyFont="1" applyBorder="1"/>
    <xf numFmtId="164" fontId="6" fillId="3" borderId="0" xfId="0" applyNumberFormat="1" applyFont="1" applyFill="1"/>
    <xf numFmtId="0" fontId="6" fillId="14" borderId="9" xfId="0" applyFont="1" applyFill="1" applyBorder="1"/>
    <xf numFmtId="0" fontId="0" fillId="14" borderId="9" xfId="0" applyFill="1" applyBorder="1"/>
    <xf numFmtId="44" fontId="0" fillId="17" borderId="0" xfId="0" applyNumberFormat="1" applyFill="1"/>
    <xf numFmtId="14" fontId="6" fillId="14" borderId="0" xfId="0" applyNumberFormat="1" applyFont="1" applyFill="1"/>
    <xf numFmtId="15" fontId="6" fillId="2" borderId="1" xfId="0" applyNumberFormat="1" applyFont="1" applyFill="1" applyBorder="1"/>
    <xf numFmtId="0" fontId="6" fillId="2" borderId="2" xfId="0" applyFont="1" applyFill="1" applyBorder="1"/>
    <xf numFmtId="0" fontId="9" fillId="2" borderId="2" xfId="0" applyFont="1" applyFill="1" applyBorder="1"/>
    <xf numFmtId="15" fontId="6" fillId="8" borderId="8" xfId="0" applyNumberFormat="1" applyFont="1" applyFill="1" applyBorder="1"/>
    <xf numFmtId="0" fontId="6" fillId="8" borderId="9" xfId="0" applyFont="1" applyFill="1" applyBorder="1"/>
    <xf numFmtId="0" fontId="9" fillId="8" borderId="9" xfId="0" applyFont="1" applyFill="1" applyBorder="1"/>
    <xf numFmtId="44" fontId="6" fillId="8" borderId="7" xfId="0" applyNumberFormat="1" applyFont="1" applyFill="1" applyBorder="1"/>
    <xf numFmtId="16" fontId="13" fillId="0" borderId="4" xfId="0" applyNumberFormat="1" applyFont="1" applyBorder="1"/>
    <xf numFmtId="0" fontId="13" fillId="0" borderId="5" xfId="0" applyFont="1" applyBorder="1"/>
    <xf numFmtId="168" fontId="5" fillId="17" borderId="4" xfId="0" applyNumberFormat="1" applyFont="1" applyFill="1" applyBorder="1"/>
    <xf numFmtId="1" fontId="0" fillId="17" borderId="0" xfId="0" applyNumberFormat="1" applyFill="1"/>
    <xf numFmtId="44" fontId="0" fillId="17" borderId="5" xfId="0" applyNumberFormat="1" applyFill="1" applyBorder="1"/>
    <xf numFmtId="44" fontId="0" fillId="17" borderId="14" xfId="0" applyNumberFormat="1" applyFill="1" applyBorder="1"/>
    <xf numFmtId="44" fontId="5" fillId="17" borderId="0" xfId="0" applyNumberFormat="1" applyFont="1" applyFill="1"/>
    <xf numFmtId="0" fontId="0" fillId="17" borderId="5" xfId="0" applyFill="1" applyBorder="1"/>
    <xf numFmtId="14" fontId="3" fillId="3" borderId="8" xfId="0" applyNumberFormat="1" applyFont="1" applyFill="1" applyBorder="1"/>
    <xf numFmtId="14" fontId="3" fillId="3" borderId="9" xfId="0" applyNumberFormat="1" applyFont="1" applyFill="1" applyBorder="1"/>
    <xf numFmtId="168" fontId="5" fillId="0" borderId="4" xfId="0" applyNumberFormat="1" applyFont="1" applyBorder="1"/>
    <xf numFmtId="0" fontId="6" fillId="0" borderId="4" xfId="0" applyFont="1" applyBorder="1"/>
    <xf numFmtId="44" fontId="5" fillId="0" borderId="22" xfId="0" applyNumberFormat="1" applyFont="1" applyBorder="1"/>
    <xf numFmtId="170" fontId="0" fillId="0" borderId="2" xfId="0" applyNumberFormat="1" applyBorder="1"/>
    <xf numFmtId="0" fontId="0" fillId="3" borderId="4" xfId="0" applyFill="1" applyBorder="1"/>
    <xf numFmtId="44" fontId="0" fillId="3" borderId="4" xfId="0" applyNumberFormat="1" applyFill="1" applyBorder="1"/>
    <xf numFmtId="14" fontId="3" fillId="19" borderId="8" xfId="0" applyNumberFormat="1" applyFont="1" applyFill="1" applyBorder="1"/>
    <xf numFmtId="0" fontId="6" fillId="19" borderId="9" xfId="0" applyFont="1" applyFill="1" applyBorder="1"/>
    <xf numFmtId="0" fontId="0" fillId="19" borderId="9" xfId="0" applyFill="1" applyBorder="1"/>
    <xf numFmtId="44" fontId="0" fillId="14" borderId="0" xfId="0" applyNumberFormat="1" applyFill="1"/>
    <xf numFmtId="15" fontId="15" fillId="0" borderId="0" xfId="0" applyNumberFormat="1" applyFont="1"/>
    <xf numFmtId="44" fontId="6" fillId="0" borderId="4" xfId="0" applyNumberFormat="1" applyFont="1" applyBorder="1"/>
    <xf numFmtId="15" fontId="6" fillId="3" borderId="9" xfId="0" applyNumberFormat="1" applyFont="1" applyFill="1" applyBorder="1"/>
    <xf numFmtId="44" fontId="13" fillId="3" borderId="9" xfId="0" applyNumberFormat="1" applyFont="1" applyFill="1" applyBorder="1"/>
    <xf numFmtId="0" fontId="2" fillId="2" borderId="2" xfId="0" applyFont="1" applyFill="1" applyBorder="1"/>
    <xf numFmtId="0" fontId="0" fillId="20" borderId="0" xfId="0" applyFill="1"/>
    <xf numFmtId="14" fontId="9" fillId="14" borderId="0" xfId="0" applyNumberFormat="1" applyFont="1" applyFill="1"/>
    <xf numFmtId="44" fontId="0" fillId="3" borderId="5" xfId="0" applyNumberFormat="1" applyFill="1" applyBorder="1"/>
    <xf numFmtId="0" fontId="0" fillId="15" borderId="0" xfId="0" applyFill="1"/>
    <xf numFmtId="44" fontId="6" fillId="15" borderId="5" xfId="0" applyNumberFormat="1" applyFont="1" applyFill="1" applyBorder="1"/>
    <xf numFmtId="0" fontId="5" fillId="15" borderId="0" xfId="0" applyFont="1" applyFill="1"/>
    <xf numFmtId="44" fontId="5" fillId="3" borderId="0" xfId="0" applyNumberFormat="1" applyFont="1" applyFill="1"/>
    <xf numFmtId="0" fontId="8" fillId="10" borderId="0" xfId="0" applyFont="1" applyFill="1"/>
    <xf numFmtId="170" fontId="1" fillId="0" borderId="0" xfId="0" applyNumberFormat="1" applyFont="1"/>
    <xf numFmtId="0" fontId="3" fillId="0" borderId="30" xfId="0" applyFont="1" applyBorder="1" applyAlignment="1">
      <alignment horizontal="left"/>
    </xf>
    <xf numFmtId="168" fontId="3" fillId="0" borderId="31" xfId="0" applyNumberFormat="1" applyFont="1" applyBorder="1"/>
    <xf numFmtId="0" fontId="0" fillId="0" borderId="30" xfId="0" applyBorder="1"/>
    <xf numFmtId="0" fontId="0" fillId="0" borderId="31" xfId="0" applyBorder="1"/>
    <xf numFmtId="0" fontId="1" fillId="0" borderId="30" xfId="0" applyFont="1" applyBorder="1"/>
    <xf numFmtId="44" fontId="0" fillId="0" borderId="31" xfId="0" applyNumberFormat="1" applyBorder="1"/>
    <xf numFmtId="0" fontId="5" fillId="0" borderId="30" xfId="0" applyFont="1" applyBorder="1"/>
    <xf numFmtId="14" fontId="0" fillId="0" borderId="30" xfId="0" applyNumberFormat="1" applyBorder="1"/>
    <xf numFmtId="14" fontId="5" fillId="0" borderId="30" xfId="0" applyNumberFormat="1" applyFont="1" applyBorder="1"/>
    <xf numFmtId="170" fontId="0" fillId="0" borderId="31" xfId="0" applyNumberFormat="1" applyBorder="1"/>
    <xf numFmtId="0" fontId="5" fillId="0" borderId="32" xfId="0" applyFont="1" applyBorder="1"/>
    <xf numFmtId="0" fontId="5" fillId="0" borderId="16" xfId="0" applyFont="1" applyBorder="1"/>
    <xf numFmtId="0" fontId="0" fillId="0" borderId="33" xfId="0" applyBorder="1"/>
    <xf numFmtId="170" fontId="1" fillId="0" borderId="31" xfId="0" applyNumberFormat="1" applyFont="1" applyBorder="1"/>
    <xf numFmtId="0" fontId="5" fillId="0" borderId="33" xfId="0" applyFont="1" applyBorder="1"/>
    <xf numFmtId="0" fontId="6" fillId="12" borderId="34" xfId="0" applyFont="1" applyFill="1" applyBorder="1"/>
    <xf numFmtId="0" fontId="6" fillId="12" borderId="17" xfId="0" applyFont="1" applyFill="1" applyBorder="1"/>
    <xf numFmtId="44" fontId="6" fillId="12" borderId="17" xfId="0" applyNumberFormat="1" applyFont="1" applyFill="1" applyBorder="1"/>
    <xf numFmtId="168" fontId="2" fillId="12" borderId="17" xfId="0" applyNumberFormat="1" applyFont="1" applyFill="1" applyBorder="1"/>
    <xf numFmtId="170" fontId="6" fillId="12" borderId="17" xfId="0" applyNumberFormat="1" applyFont="1" applyFill="1" applyBorder="1"/>
    <xf numFmtId="170" fontId="6" fillId="12" borderId="35" xfId="0" applyNumberFormat="1" applyFont="1" applyFill="1" applyBorder="1"/>
    <xf numFmtId="0" fontId="16" fillId="11" borderId="12" xfId="0" applyFont="1" applyFill="1" applyBorder="1"/>
    <xf numFmtId="0" fontId="5" fillId="10" borderId="5" xfId="0" applyFont="1" applyFill="1" applyBorder="1"/>
    <xf numFmtId="0" fontId="8" fillId="10" borderId="8" xfId="0" applyFont="1" applyFill="1" applyBorder="1"/>
    <xf numFmtId="0" fontId="8" fillId="10" borderId="9" xfId="0" applyFont="1" applyFill="1" applyBorder="1"/>
    <xf numFmtId="0" fontId="6" fillId="12" borderId="4" xfId="0" applyFont="1" applyFill="1" applyBorder="1"/>
    <xf numFmtId="0" fontId="6" fillId="12" borderId="0" xfId="0" applyFont="1" applyFill="1"/>
    <xf numFmtId="3" fontId="5" fillId="10" borderId="0" xfId="0" applyNumberFormat="1" applyFont="1" applyFill="1"/>
    <xf numFmtId="0" fontId="6" fillId="14" borderId="11" xfId="0" applyFont="1" applyFill="1" applyBorder="1"/>
    <xf numFmtId="0" fontId="0" fillId="14" borderId="3" xfId="0" applyFill="1" applyBorder="1"/>
    <xf numFmtId="0" fontId="4" fillId="5" borderId="10" xfId="0" applyFont="1" applyFill="1" applyBorder="1"/>
    <xf numFmtId="0" fontId="1" fillId="5" borderId="11" xfId="0" applyFont="1" applyFill="1" applyBorder="1"/>
    <xf numFmtId="0" fontId="17" fillId="5" borderId="11" xfId="0" applyFont="1" applyFill="1" applyBorder="1" applyAlignment="1">
      <alignment horizontal="distributed" vertical="distributed"/>
    </xf>
    <xf numFmtId="0" fontId="0" fillId="14" borderId="7" xfId="0" applyFill="1" applyBorder="1"/>
    <xf numFmtId="15" fontId="6" fillId="8" borderId="0" xfId="0" applyNumberFormat="1" applyFont="1" applyFill="1"/>
    <xf numFmtId="0" fontId="6" fillId="8" borderId="0" xfId="0" applyFont="1" applyFill="1"/>
    <xf numFmtId="0" fontId="9" fillId="8" borderId="0" xfId="0" applyFont="1" applyFill="1"/>
    <xf numFmtId="15" fontId="6" fillId="3" borderId="10" xfId="0" applyNumberFormat="1" applyFont="1" applyFill="1" applyBorder="1"/>
    <xf numFmtId="0" fontId="6" fillId="3" borderId="11" xfId="0" applyFont="1" applyFill="1" applyBorder="1"/>
    <xf numFmtId="0" fontId="9" fillId="3" borderId="11" xfId="0" applyFont="1" applyFill="1" applyBorder="1"/>
    <xf numFmtId="44" fontId="6" fillId="3" borderId="12" xfId="0" applyNumberFormat="1" applyFont="1" applyFill="1" applyBorder="1"/>
    <xf numFmtId="15" fontId="6" fillId="8" borderId="4" xfId="0" applyNumberFormat="1" applyFont="1" applyFill="1" applyBorder="1"/>
    <xf numFmtId="44" fontId="6" fillId="8" borderId="5" xfId="0" applyNumberFormat="1" applyFont="1" applyFill="1" applyBorder="1"/>
    <xf numFmtId="14" fontId="3" fillId="5" borderId="10" xfId="0" applyNumberFormat="1" applyFont="1" applyFill="1" applyBorder="1"/>
    <xf numFmtId="14" fontId="6" fillId="14" borderId="11" xfId="0" applyNumberFormat="1" applyFont="1" applyFill="1" applyBorder="1"/>
    <xf numFmtId="0" fontId="0" fillId="14" borderId="12" xfId="0" applyFill="1" applyBorder="1"/>
    <xf numFmtId="14" fontId="9" fillId="14" borderId="10" xfId="0" applyNumberFormat="1" applyFont="1" applyFill="1" applyBorder="1"/>
    <xf numFmtId="44" fontId="6" fillId="14" borderId="11" xfId="0" applyNumberFormat="1" applyFont="1" applyFill="1" applyBorder="1"/>
    <xf numFmtId="44" fontId="6" fillId="14" borderId="12" xfId="0" applyNumberFormat="1" applyFont="1" applyFill="1" applyBorder="1"/>
    <xf numFmtId="15" fontId="6" fillId="2" borderId="2" xfId="0" applyNumberFormat="1" applyFont="1" applyFill="1" applyBorder="1"/>
    <xf numFmtId="0" fontId="5" fillId="3" borderId="14" xfId="0" applyFont="1" applyFill="1" applyBorder="1"/>
    <xf numFmtId="0" fontId="0" fillId="3" borderId="14" xfId="0" applyFill="1" applyBorder="1"/>
    <xf numFmtId="44" fontId="6" fillId="3" borderId="15" xfId="0" applyNumberFormat="1" applyFont="1" applyFill="1" applyBorder="1"/>
    <xf numFmtId="16" fontId="5" fillId="21" borderId="5" xfId="0" applyNumberFormat="1" applyFont="1" applyFill="1" applyBorder="1"/>
    <xf numFmtId="0" fontId="0" fillId="21" borderId="5" xfId="0" applyFill="1" applyBorder="1"/>
    <xf numFmtId="44" fontId="0" fillId="21" borderId="5" xfId="0" applyNumberFormat="1" applyFill="1" applyBorder="1"/>
    <xf numFmtId="44" fontId="13" fillId="21" borderId="5" xfId="0" applyNumberFormat="1" applyFont="1" applyFill="1" applyBorder="1"/>
    <xf numFmtId="44" fontId="0" fillId="21" borderId="7" xfId="0" applyNumberFormat="1" applyFill="1" applyBorder="1"/>
    <xf numFmtId="44" fontId="6" fillId="21" borderId="12" xfId="0" applyNumberFormat="1" applyFont="1" applyFill="1" applyBorder="1"/>
    <xf numFmtId="15" fontId="5" fillId="0" borderId="14" xfId="0" applyNumberFormat="1" applyFont="1" applyBorder="1"/>
    <xf numFmtId="0" fontId="5" fillId="8" borderId="14" xfId="0" applyFont="1" applyFill="1" applyBorder="1"/>
    <xf numFmtId="0" fontId="0" fillId="8" borderId="14" xfId="0" applyFill="1" applyBorder="1"/>
    <xf numFmtId="44" fontId="0" fillId="8" borderId="14" xfId="0" applyNumberFormat="1" applyFill="1" applyBorder="1"/>
    <xf numFmtId="44" fontId="5" fillId="8" borderId="14" xfId="0" applyNumberFormat="1" applyFont="1" applyFill="1" applyBorder="1"/>
    <xf numFmtId="44" fontId="6" fillId="8" borderId="15" xfId="0" applyNumberFormat="1" applyFont="1" applyFill="1" applyBorder="1"/>
    <xf numFmtId="0" fontId="5" fillId="22" borderId="14" xfId="0" applyFont="1" applyFill="1" applyBorder="1"/>
    <xf numFmtId="0" fontId="0" fillId="22" borderId="14" xfId="0" applyFill="1" applyBorder="1"/>
    <xf numFmtId="44" fontId="0" fillId="22" borderId="14" xfId="0" applyNumberFormat="1" applyFill="1" applyBorder="1"/>
    <xf numFmtId="44" fontId="5" fillId="22" borderId="14" xfId="0" applyNumberFormat="1" applyFont="1" applyFill="1" applyBorder="1"/>
    <xf numFmtId="44" fontId="6" fillId="22" borderId="15" xfId="0" applyNumberFormat="1" applyFont="1" applyFill="1" applyBorder="1"/>
    <xf numFmtId="44" fontId="13" fillId="3" borderId="14" xfId="0" applyNumberFormat="1" applyFont="1" applyFill="1" applyBorder="1"/>
    <xf numFmtId="44" fontId="13" fillId="3" borderId="29" xfId="0" applyNumberFormat="1" applyFont="1" applyFill="1" applyBorder="1"/>
    <xf numFmtId="15" fontId="6" fillId="0" borderId="1" xfId="0" applyNumberFormat="1" applyFont="1" applyBorder="1"/>
    <xf numFmtId="44" fontId="6" fillId="0" borderId="3" xfId="0" applyNumberFormat="1" applyFont="1" applyBorder="1"/>
    <xf numFmtId="0" fontId="13" fillId="0" borderId="8" xfId="0" applyFont="1" applyBorder="1"/>
    <xf numFmtId="0" fontId="13" fillId="0" borderId="9" xfId="0" applyFont="1" applyBorder="1"/>
    <xf numFmtId="0" fontId="13" fillId="0" borderId="7" xfId="0" applyFont="1" applyBorder="1"/>
    <xf numFmtId="44" fontId="5" fillId="21" borderId="5" xfId="0" applyNumberFormat="1" applyFont="1" applyFill="1" applyBorder="1"/>
    <xf numFmtId="168" fontId="13" fillId="10" borderId="4" xfId="0" applyNumberFormat="1" applyFont="1" applyFill="1" applyBorder="1"/>
    <xf numFmtId="44" fontId="13" fillId="8" borderId="14" xfId="0" applyNumberFormat="1" applyFont="1" applyFill="1" applyBorder="1"/>
    <xf numFmtId="44" fontId="13" fillId="22" borderId="14" xfId="0" applyNumberFormat="1" applyFont="1" applyFill="1" applyBorder="1"/>
    <xf numFmtId="168" fontId="8" fillId="10" borderId="4" xfId="0" applyNumberFormat="1" applyFont="1" applyFill="1" applyBorder="1"/>
    <xf numFmtId="1" fontId="8" fillId="0" borderId="0" xfId="0" applyNumberFormat="1" applyFont="1"/>
    <xf numFmtId="44" fontId="8" fillId="21" borderId="5" xfId="0" applyNumberFormat="1" applyFont="1" applyFill="1" applyBorder="1"/>
    <xf numFmtId="44" fontId="8" fillId="8" borderId="14" xfId="0" applyNumberFormat="1" applyFont="1" applyFill="1" applyBorder="1"/>
    <xf numFmtId="44" fontId="8" fillId="22" borderId="14" xfId="0" applyNumberFormat="1" applyFont="1" applyFill="1" applyBorder="1"/>
    <xf numFmtId="44" fontId="8" fillId="3" borderId="14" xfId="0" applyNumberFormat="1" applyFont="1" applyFill="1" applyBorder="1"/>
    <xf numFmtId="1" fontId="13" fillId="0" borderId="0" xfId="0" applyNumberFormat="1" applyFont="1"/>
    <xf numFmtId="168" fontId="23" fillId="0" borderId="3" xfId="0" applyNumberFormat="1" applyFont="1" applyBorder="1"/>
    <xf numFmtId="168" fontId="2" fillId="2" borderId="7" xfId="0" applyNumberFormat="1" applyFont="1" applyFill="1" applyBorder="1"/>
    <xf numFmtId="0" fontId="0" fillId="0" borderId="11" xfId="0" applyBorder="1"/>
    <xf numFmtId="44" fontId="0" fillId="0" borderId="11" xfId="0" applyNumberFormat="1" applyBorder="1"/>
    <xf numFmtId="0" fontId="2" fillId="0" borderId="11" xfId="0" applyFont="1" applyBorder="1"/>
    <xf numFmtId="0" fontId="5" fillId="0" borderId="11" xfId="0" applyFont="1" applyBorder="1"/>
    <xf numFmtId="44" fontId="5" fillId="0" borderId="12" xfId="0" applyNumberFormat="1" applyFont="1" applyBorder="1"/>
    <xf numFmtId="0" fontId="6" fillId="14" borderId="10" xfId="0" applyFont="1" applyFill="1" applyBorder="1"/>
    <xf numFmtId="0" fontId="2" fillId="14" borderId="10" xfId="0" applyFont="1" applyFill="1" applyBorder="1"/>
    <xf numFmtId="0" fontId="2" fillId="14" borderId="12" xfId="0" applyFont="1" applyFill="1" applyBorder="1"/>
    <xf numFmtId="0" fontId="6" fillId="14" borderId="12" xfId="0" applyFont="1" applyFill="1" applyBorder="1"/>
    <xf numFmtId="14" fontId="6" fillId="8" borderId="4" xfId="0" applyNumberFormat="1" applyFont="1" applyFill="1" applyBorder="1"/>
    <xf numFmtId="14" fontId="6" fillId="8" borderId="0" xfId="0" applyNumberFormat="1" applyFont="1" applyFill="1"/>
    <xf numFmtId="44" fontId="6" fillId="8" borderId="0" xfId="0" applyNumberFormat="1" applyFont="1" applyFill="1"/>
    <xf numFmtId="14" fontId="6" fillId="3" borderId="8" xfId="0" applyNumberFormat="1" applyFont="1" applyFill="1" applyBorder="1"/>
    <xf numFmtId="14" fontId="6" fillId="3" borderId="9" xfId="0" applyNumberFormat="1" applyFont="1" applyFill="1" applyBorder="1"/>
    <xf numFmtId="44" fontId="6" fillId="3" borderId="9" xfId="0" applyNumberFormat="1" applyFont="1" applyFill="1" applyBorder="1"/>
    <xf numFmtId="44" fontId="8" fillId="14" borderId="0" xfId="0" applyNumberFormat="1" applyFont="1" applyFill="1"/>
    <xf numFmtId="16" fontId="6" fillId="2" borderId="0" xfId="0" applyNumberFormat="1" applyFont="1" applyFill="1"/>
    <xf numFmtId="0" fontId="13" fillId="23" borderId="30" xfId="0" applyFont="1" applyFill="1" applyBorder="1"/>
    <xf numFmtId="0" fontId="13" fillId="23" borderId="0" xfId="0" applyFont="1" applyFill="1"/>
    <xf numFmtId="44" fontId="13" fillId="23" borderId="0" xfId="0" applyNumberFormat="1" applyFont="1" applyFill="1"/>
    <xf numFmtId="0" fontId="2" fillId="8" borderId="9" xfId="0" applyFont="1" applyFill="1" applyBorder="1"/>
    <xf numFmtId="0" fontId="6" fillId="8" borderId="7" xfId="0" applyFont="1" applyFill="1" applyBorder="1"/>
    <xf numFmtId="0" fontId="9" fillId="2" borderId="5" xfId="0" applyFont="1" applyFill="1" applyBorder="1"/>
    <xf numFmtId="0" fontId="9" fillId="8" borderId="5" xfId="0" applyFont="1" applyFill="1" applyBorder="1"/>
    <xf numFmtId="15" fontId="6" fillId="14" borderId="8" xfId="0" applyNumberFormat="1" applyFont="1" applyFill="1" applyBorder="1"/>
    <xf numFmtId="0" fontId="9" fillId="14" borderId="9" xfId="0" applyFont="1" applyFill="1" applyBorder="1"/>
    <xf numFmtId="0" fontId="6" fillId="14" borderId="7" xfId="0" applyFont="1" applyFill="1" applyBorder="1"/>
    <xf numFmtId="0" fontId="4" fillId="5" borderId="8" xfId="0" applyFont="1" applyFill="1" applyBorder="1"/>
    <xf numFmtId="0" fontId="4" fillId="5" borderId="9" xfId="0" applyFont="1" applyFill="1" applyBorder="1"/>
    <xf numFmtId="0" fontId="17" fillId="5" borderId="9" xfId="0" applyFont="1" applyFill="1" applyBorder="1"/>
    <xf numFmtId="0" fontId="9" fillId="2" borderId="3" xfId="0" applyFont="1" applyFill="1" applyBorder="1"/>
    <xf numFmtId="44" fontId="8" fillId="0" borderId="5" xfId="0" applyNumberFormat="1" applyFont="1" applyBorder="1"/>
    <xf numFmtId="44" fontId="8" fillId="0" borderId="14" xfId="0" applyNumberFormat="1" applyFont="1" applyBorder="1"/>
    <xf numFmtId="44" fontId="28" fillId="0" borderId="0" xfId="0" applyNumberFormat="1" applyFont="1"/>
    <xf numFmtId="14" fontId="6" fillId="21" borderId="4" xfId="0" applyNumberFormat="1" applyFont="1" applyFill="1" applyBorder="1"/>
    <xf numFmtId="14" fontId="6" fillId="21" borderId="0" xfId="0" applyNumberFormat="1" applyFont="1" applyFill="1"/>
    <xf numFmtId="15" fontId="6" fillId="21" borderId="0" xfId="0" applyNumberFormat="1" applyFont="1" applyFill="1"/>
    <xf numFmtId="44" fontId="6" fillId="21" borderId="0" xfId="0" applyNumberFormat="1" applyFont="1" applyFill="1"/>
    <xf numFmtId="44" fontId="6" fillId="21" borderId="5" xfId="0" applyNumberFormat="1" applyFont="1" applyFill="1" applyBorder="1"/>
    <xf numFmtId="0" fontId="6" fillId="2" borderId="5" xfId="0" applyFont="1" applyFill="1" applyBorder="1"/>
    <xf numFmtId="0" fontId="6" fillId="8" borderId="5" xfId="0" applyFont="1" applyFill="1" applyBorder="1"/>
    <xf numFmtId="4" fontId="6" fillId="2" borderId="5" xfId="0" applyNumberFormat="1" applyFont="1" applyFill="1" applyBorder="1"/>
    <xf numFmtId="4" fontId="6" fillId="8" borderId="5" xfId="0" applyNumberFormat="1" applyFont="1" applyFill="1" applyBorder="1"/>
    <xf numFmtId="0" fontId="2" fillId="2" borderId="0" xfId="0" applyFont="1" applyFill="1"/>
    <xf numFmtId="168" fontId="2" fillId="2" borderId="0" xfId="0" applyNumberFormat="1" applyFont="1" applyFill="1"/>
    <xf numFmtId="0" fontId="16" fillId="11" borderId="4" xfId="0" applyFont="1" applyFill="1" applyBorder="1"/>
    <xf numFmtId="168" fontId="2" fillId="2" borderId="5" xfId="0" applyNumberFormat="1" applyFont="1" applyFill="1" applyBorder="1"/>
    <xf numFmtId="1" fontId="0" fillId="0" borderId="9" xfId="0" applyNumberFormat="1" applyBorder="1"/>
    <xf numFmtId="0" fontId="5" fillId="0" borderId="36" xfId="0" applyFont="1" applyBorder="1"/>
    <xf numFmtId="0" fontId="6" fillId="12" borderId="19" xfId="0" applyFont="1" applyFill="1" applyBorder="1"/>
    <xf numFmtId="170" fontId="6" fillId="12" borderId="6" xfId="0" applyNumberFormat="1" applyFont="1" applyFill="1" applyBorder="1"/>
    <xf numFmtId="170" fontId="1" fillId="0" borderId="5" xfId="0" applyNumberFormat="1" applyFont="1" applyBorder="1"/>
    <xf numFmtId="0" fontId="5" fillId="0" borderId="6" xfId="0" applyFont="1" applyBorder="1"/>
    <xf numFmtId="14" fontId="8" fillId="0" borderId="0" xfId="0" applyNumberFormat="1" applyFont="1"/>
    <xf numFmtId="0" fontId="5" fillId="22" borderId="4" xfId="0" applyFont="1" applyFill="1" applyBorder="1"/>
    <xf numFmtId="44" fontId="8" fillId="0" borderId="4" xfId="0" applyNumberFormat="1" applyFont="1" applyBorder="1"/>
    <xf numFmtId="44" fontId="0" fillId="22" borderId="4" xfId="0" applyNumberFormat="1" applyFill="1" applyBorder="1"/>
    <xf numFmtId="44" fontId="13" fillId="22" borderId="4" xfId="0" applyNumberFormat="1" applyFont="1" applyFill="1" applyBorder="1"/>
    <xf numFmtId="44" fontId="5" fillId="22" borderId="4" xfId="0" applyNumberFormat="1" applyFont="1" applyFill="1" applyBorder="1"/>
    <xf numFmtId="0" fontId="0" fillId="22" borderId="4" xfId="0" applyFill="1" applyBorder="1"/>
    <xf numFmtId="44" fontId="6" fillId="22" borderId="10" xfId="0" applyNumberFormat="1" applyFont="1" applyFill="1" applyBorder="1"/>
    <xf numFmtId="0" fontId="0" fillId="0" borderId="37" xfId="0" applyBorder="1"/>
    <xf numFmtId="15" fontId="0" fillId="0" borderId="38" xfId="0" applyNumberFormat="1" applyBorder="1"/>
    <xf numFmtId="0" fontId="5" fillId="3" borderId="38" xfId="0" applyFont="1" applyFill="1" applyBorder="1"/>
    <xf numFmtId="0" fontId="0" fillId="0" borderId="38" xfId="0" applyBorder="1"/>
    <xf numFmtId="44" fontId="0" fillId="0" borderId="38" xfId="0" applyNumberFormat="1" applyBorder="1"/>
    <xf numFmtId="44" fontId="8" fillId="0" borderId="38" xfId="0" applyNumberFormat="1" applyFont="1" applyBorder="1"/>
    <xf numFmtId="44" fontId="0" fillId="21" borderId="38" xfId="0" applyNumberFormat="1" applyFill="1" applyBorder="1"/>
    <xf numFmtId="44" fontId="13" fillId="21" borderId="38" xfId="0" applyNumberFormat="1" applyFont="1" applyFill="1" applyBorder="1"/>
    <xf numFmtId="44" fontId="5" fillId="21" borderId="38" xfId="0" applyNumberFormat="1" applyFont="1" applyFill="1" applyBorder="1"/>
    <xf numFmtId="0" fontId="0" fillId="21" borderId="38" xfId="0" applyFill="1" applyBorder="1"/>
    <xf numFmtId="44" fontId="0" fillId="21" borderId="39" xfId="0" applyNumberFormat="1" applyFill="1" applyBorder="1"/>
    <xf numFmtId="44" fontId="6" fillId="21" borderId="40" xfId="0" applyNumberFormat="1" applyFont="1" applyFill="1" applyBorder="1"/>
    <xf numFmtId="0" fontId="5" fillId="14" borderId="0" xfId="0" applyFont="1" applyFill="1"/>
    <xf numFmtId="44" fontId="0" fillId="2" borderId="0" xfId="0" applyNumberFormat="1" applyFill="1"/>
    <xf numFmtId="0" fontId="6" fillId="8" borderId="4" xfId="0" applyFont="1" applyFill="1" applyBorder="1"/>
    <xf numFmtId="15" fontId="6" fillId="14" borderId="4" xfId="0" applyNumberFormat="1" applyFont="1" applyFill="1" applyBorder="1"/>
    <xf numFmtId="0" fontId="9" fillId="14" borderId="0" xfId="0" applyFont="1" applyFill="1"/>
    <xf numFmtId="16" fontId="5" fillId="0" borderId="0" xfId="0" applyNumberFormat="1" applyFont="1"/>
    <xf numFmtId="44" fontId="3" fillId="0" borderId="0" xfId="0" applyNumberFormat="1" applyFont="1" applyAlignment="1">
      <alignment horizontal="left"/>
    </xf>
    <xf numFmtId="44" fontId="0" fillId="4" borderId="0" xfId="0" applyNumberFormat="1" applyFill="1"/>
    <xf numFmtId="44" fontId="5" fillId="8" borderId="0" xfId="0" applyNumberFormat="1" applyFont="1" applyFill="1"/>
    <xf numFmtId="0" fontId="0" fillId="8" borderId="0" xfId="0" applyFill="1"/>
    <xf numFmtId="44" fontId="13" fillId="14" borderId="4" xfId="0" applyNumberFormat="1" applyFont="1" applyFill="1" applyBorder="1"/>
    <xf numFmtId="44" fontId="0" fillId="0" borderId="3" xfId="0" applyNumberFormat="1" applyBorder="1"/>
    <xf numFmtId="15" fontId="6" fillId="8" borderId="9" xfId="0" applyNumberFormat="1" applyFont="1" applyFill="1" applyBorder="1"/>
    <xf numFmtId="0" fontId="2" fillId="3" borderId="0" xfId="0" applyFont="1" applyFill="1"/>
    <xf numFmtId="0" fontId="4" fillId="5" borderId="11" xfId="0" applyFont="1" applyFill="1" applyBorder="1"/>
    <xf numFmtId="0" fontId="20" fillId="5" borderId="11" xfId="0" applyFont="1" applyFill="1" applyBorder="1"/>
    <xf numFmtId="0" fontId="4" fillId="5" borderId="12" xfId="0" applyFont="1" applyFill="1" applyBorder="1"/>
    <xf numFmtId="0" fontId="0" fillId="2" borderId="5" xfId="0" applyFill="1" applyBorder="1"/>
    <xf numFmtId="0" fontId="16" fillId="11" borderId="1" xfId="0" applyFont="1" applyFill="1" applyBorder="1"/>
    <xf numFmtId="168" fontId="2" fillId="2" borderId="2" xfId="0" applyNumberFormat="1" applyFont="1" applyFill="1" applyBorder="1"/>
    <xf numFmtId="168" fontId="2" fillId="2" borderId="3" xfId="0" applyNumberFormat="1" applyFont="1" applyFill="1" applyBorder="1"/>
    <xf numFmtId="14" fontId="8" fillId="0" borderId="5" xfId="0" applyNumberFormat="1" applyFont="1" applyBorder="1"/>
    <xf numFmtId="44" fontId="13" fillId="0" borderId="5" xfId="0" applyNumberFormat="1" applyFont="1" applyBorder="1"/>
    <xf numFmtId="14" fontId="0" fillId="0" borderId="5" xfId="0" applyNumberFormat="1" applyBorder="1"/>
    <xf numFmtId="170" fontId="6" fillId="12" borderId="18" xfId="0" applyNumberFormat="1" applyFont="1" applyFill="1" applyBorder="1"/>
    <xf numFmtId="44" fontId="0" fillId="0" borderId="6" xfId="0" applyNumberFormat="1" applyBorder="1"/>
    <xf numFmtId="44" fontId="0" fillId="0" borderId="16" xfId="0" applyNumberFormat="1" applyBorder="1"/>
    <xf numFmtId="4" fontId="6" fillId="2" borderId="0" xfId="0" applyNumberFormat="1" applyFont="1" applyFill="1"/>
    <xf numFmtId="15" fontId="31" fillId="14" borderId="4" xfId="0" applyNumberFormat="1" applyFont="1" applyFill="1" applyBorder="1"/>
    <xf numFmtId="0" fontId="31" fillId="14" borderId="0" xfId="0" applyFont="1" applyFill="1"/>
    <xf numFmtId="0" fontId="32" fillId="14" borderId="0" xfId="0" applyFont="1" applyFill="1"/>
    <xf numFmtId="44" fontId="31" fillId="14" borderId="5" xfId="0" applyNumberFormat="1" applyFont="1" applyFill="1" applyBorder="1"/>
    <xf numFmtId="0" fontId="17" fillId="0" borderId="0" xfId="0" applyFont="1"/>
    <xf numFmtId="15" fontId="31" fillId="14" borderId="10" xfId="0" applyNumberFormat="1" applyFont="1" applyFill="1" applyBorder="1"/>
    <xf numFmtId="0" fontId="31" fillId="14" borderId="11" xfId="0" applyFont="1" applyFill="1" applyBorder="1"/>
    <xf numFmtId="0" fontId="32" fillId="14" borderId="11" xfId="0" applyFont="1" applyFill="1" applyBorder="1"/>
    <xf numFmtId="44" fontId="31" fillId="14" borderId="12" xfId="0" applyNumberFormat="1" applyFont="1" applyFill="1" applyBorder="1"/>
    <xf numFmtId="44" fontId="5" fillId="2" borderId="4" xfId="0" applyNumberFormat="1" applyFont="1" applyFill="1" applyBorder="1"/>
    <xf numFmtId="44" fontId="13" fillId="2" borderId="5" xfId="0" applyNumberFormat="1" applyFont="1" applyFill="1" applyBorder="1"/>
    <xf numFmtId="171" fontId="6" fillId="2" borderId="5" xfId="0" applyNumberFormat="1" applyFont="1" applyFill="1" applyBorder="1"/>
    <xf numFmtId="15" fontId="0" fillId="0" borderId="3" xfId="0" applyNumberFormat="1" applyBorder="1"/>
    <xf numFmtId="0" fontId="5" fillId="11" borderId="0" xfId="0" applyFont="1" applyFill="1"/>
    <xf numFmtId="4" fontId="5" fillId="0" borderId="16" xfId="0" applyNumberFormat="1" applyFont="1" applyBorder="1"/>
    <xf numFmtId="44" fontId="0" fillId="16" borderId="0" xfId="0" applyNumberFormat="1" applyFill="1"/>
    <xf numFmtId="0" fontId="0" fillId="16" borderId="0" xfId="0" applyFill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5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6" fillId="0" borderId="5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2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Boot\NME%20Woudreus\fin%202022\23.02.24%20jaarrekening%202022%20definitief.xls" TargetMode="External"/><Relationship Id="rId1" Type="http://schemas.openxmlformats.org/officeDocument/2006/relationships/externalLinkPath" Target="/Boot/NME%20Woudreus/fin%202022/23.02.24%20jaarrekening%202022%20definitie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ME%20Woudreus/fin%202016/17.01.25%20jaarrekening%202016%20en%20begroting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ME%20Woudreus/fin%202015/16.02.07%20concept%20jaarrekening%202015%20en%20begroting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arekening 2022"/>
      <sheetName val="31 dec 2022"/>
      <sheetName val="proj 2022"/>
      <sheetName val="jaarrekening 2021"/>
      <sheetName val="31 dec 2021"/>
      <sheetName val="proj 2021"/>
      <sheetName val="Blad3"/>
      <sheetName val="jaarrekening 2020"/>
      <sheetName val="31 dec 2020"/>
      <sheetName val="project 2020"/>
      <sheetName val="Blad1"/>
      <sheetName val="jaarekening 2019  begr 2020"/>
      <sheetName val="31 dec 2019"/>
      <sheetName val="project 2019"/>
      <sheetName val="project 2018 def"/>
      <sheetName val="jaarek 2018 begr 2019"/>
      <sheetName val="project 2018"/>
      <sheetName val="jaarrek 2017 begr 2018 "/>
      <sheetName val="jaarekening 2016 begr 2017"/>
      <sheetName val="fin overz 31 dec 2016"/>
      <sheetName val="project 2016"/>
      <sheetName val="projecten 2015"/>
    </sheetNames>
    <sheetDataSet>
      <sheetData sheetId="0"/>
      <sheetData sheetId="1">
        <row r="12">
          <cell r="A12">
            <v>6814.7800000000088</v>
          </cell>
          <cell r="H12">
            <v>-38.710000000000036</v>
          </cell>
        </row>
        <row r="14">
          <cell r="H14">
            <v>10864.530000000002</v>
          </cell>
        </row>
        <row r="16">
          <cell r="H16">
            <v>3183.1499999999996</v>
          </cell>
        </row>
        <row r="17">
          <cell r="A17">
            <v>10864.530000000002</v>
          </cell>
        </row>
        <row r="18">
          <cell r="H18">
            <v>2849.88</v>
          </cell>
        </row>
      </sheetData>
      <sheetData sheetId="2">
        <row r="39">
          <cell r="F39">
            <v>-119.41000000000001</v>
          </cell>
        </row>
        <row r="68">
          <cell r="F68">
            <v>-1258.3999999999999</v>
          </cell>
        </row>
        <row r="94">
          <cell r="F94">
            <v>-5507.76</v>
          </cell>
        </row>
        <row r="98">
          <cell r="F98">
            <v>187.07</v>
          </cell>
        </row>
        <row r="117">
          <cell r="F117">
            <v>0</v>
          </cell>
        </row>
        <row r="122">
          <cell r="F122">
            <v>2474</v>
          </cell>
        </row>
        <row r="162">
          <cell r="F162">
            <v>-43.93</v>
          </cell>
        </row>
        <row r="166">
          <cell r="F166">
            <v>19.45</v>
          </cell>
        </row>
        <row r="167">
          <cell r="F167">
            <v>0</v>
          </cell>
        </row>
      </sheetData>
      <sheetData sheetId="3">
        <row r="9">
          <cell r="C9">
            <v>9805.36</v>
          </cell>
        </row>
        <row r="11">
          <cell r="H11">
            <v>80.7</v>
          </cell>
        </row>
        <row r="12">
          <cell r="C12">
            <v>12121.65</v>
          </cell>
        </row>
        <row r="13">
          <cell r="H13">
            <v>12121.650000000001</v>
          </cell>
        </row>
        <row r="17">
          <cell r="H17">
            <v>375.87999999999988</v>
          </cell>
        </row>
        <row r="18">
          <cell r="H18">
            <v>24.480000000000018</v>
          </cell>
        </row>
      </sheetData>
      <sheetData sheetId="4">
        <row r="16">
          <cell r="H16">
            <v>8503.84</v>
          </cell>
        </row>
        <row r="24">
          <cell r="G24">
            <v>820.46000000000902</v>
          </cell>
        </row>
      </sheetData>
      <sheetData sheetId="5"/>
      <sheetData sheetId="6"/>
      <sheetData sheetId="7"/>
      <sheetData sheetId="8">
        <row r="13">
          <cell r="C13">
            <v>0</v>
          </cell>
        </row>
      </sheetData>
      <sheetData sheetId="9">
        <row r="41">
          <cell r="B41" t="str">
            <v>Herinrichting Ruimte</v>
          </cell>
        </row>
      </sheetData>
      <sheetData sheetId="10"/>
      <sheetData sheetId="11"/>
      <sheetData sheetId="12">
        <row r="19">
          <cell r="E19" t="str">
            <v>*Reservering diversen</v>
          </cell>
          <cell r="F19">
            <v>4</v>
          </cell>
        </row>
        <row r="22">
          <cell r="E22" t="str">
            <v>*Te besteden 50 dingen boekje</v>
          </cell>
          <cell r="F22">
            <v>7</v>
          </cell>
        </row>
        <row r="23">
          <cell r="E23" t="str">
            <v>*Basisonderwijs/st. Ronde Venen fonds</v>
          </cell>
          <cell r="F23">
            <v>8</v>
          </cell>
        </row>
        <row r="27">
          <cell r="E27" t="str">
            <v>*Ontwikkeling NME (1)</v>
          </cell>
          <cell r="F27">
            <v>12</v>
          </cell>
        </row>
        <row r="28">
          <cell r="E28" t="str">
            <v>Izettle</v>
          </cell>
          <cell r="F28">
            <v>13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 begr 2016 en jaarrekening "/>
      <sheetName val="begr res  15"/>
      <sheetName val="conc begr 2015 en jaarrek 2014"/>
      <sheetName val="jr 2013"/>
      <sheetName val="jrrek 14 vervallen"/>
      <sheetName val="Blad3"/>
    </sheetNames>
    <sheetDataSet>
      <sheetData sheetId="0"/>
      <sheetData sheetId="1">
        <row r="11">
          <cell r="I11">
            <v>696.17</v>
          </cell>
        </row>
        <row r="12">
          <cell r="G12">
            <v>598.16999999999996</v>
          </cell>
          <cell r="H12">
            <v>-182.61</v>
          </cell>
        </row>
        <row r="13">
          <cell r="G13">
            <v>408.81</v>
          </cell>
          <cell r="H13">
            <v>-358.33</v>
          </cell>
        </row>
        <row r="14">
          <cell r="G14">
            <v>218.95</v>
          </cell>
          <cell r="H14">
            <v>-102</v>
          </cell>
        </row>
        <row r="15">
          <cell r="G15">
            <v>2084</v>
          </cell>
        </row>
        <row r="16">
          <cell r="G16">
            <v>4.2599999999999341</v>
          </cell>
          <cell r="H16">
            <v>-387.2</v>
          </cell>
          <cell r="I16">
            <v>312.47000000000003</v>
          </cell>
        </row>
        <row r="32">
          <cell r="H32">
            <v>696.17</v>
          </cell>
        </row>
        <row r="33">
          <cell r="H33">
            <v>5580.99</v>
          </cell>
        </row>
        <row r="34">
          <cell r="H34">
            <v>2500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 begr 2016 en jaarrekening "/>
      <sheetName val="begr res  15"/>
      <sheetName val="conc begr 2015 en jaarrek 2014"/>
      <sheetName val="jr 2013"/>
      <sheetName val="jrrek 14 vervallen"/>
      <sheetName val="Blad3"/>
    </sheetNames>
    <sheetDataSet>
      <sheetData sheetId="0"/>
      <sheetData sheetId="1">
        <row r="30">
          <cell r="C30">
            <v>4803.51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F486B-8D60-4A3F-A3D2-2FF4BCE3E4CB}">
  <sheetPr>
    <pageSetUpPr fitToPage="1"/>
  </sheetPr>
  <dimension ref="A1:N41"/>
  <sheetViews>
    <sheetView workbookViewId="0">
      <selection activeCell="E3" sqref="E3"/>
    </sheetView>
  </sheetViews>
  <sheetFormatPr defaultRowHeight="13.2" x14ac:dyDescent="0.25"/>
  <cols>
    <col min="1" max="1" width="16.6640625" customWidth="1"/>
    <col min="2" max="2" width="43.44140625" customWidth="1"/>
    <col min="3" max="3" width="14.6640625" customWidth="1"/>
    <col min="4" max="4" width="1.6640625" customWidth="1"/>
    <col min="5" max="5" width="35" customWidth="1"/>
    <col min="6" max="6" width="4.109375" customWidth="1"/>
    <col min="7" max="7" width="14.6640625" customWidth="1"/>
    <col min="8" max="8" width="15.44140625" customWidth="1"/>
    <col min="9" max="9" width="16.6640625" customWidth="1"/>
    <col min="10" max="10" width="14.5546875" customWidth="1"/>
    <col min="11" max="11" width="18.33203125" customWidth="1"/>
    <col min="12" max="13" width="26.88671875" customWidth="1"/>
    <col min="14" max="14" width="16.44140625" customWidth="1"/>
  </cols>
  <sheetData>
    <row r="1" spans="1:14" ht="30" x14ac:dyDescent="0.5">
      <c r="B1" s="222" t="s">
        <v>142</v>
      </c>
    </row>
    <row r="4" spans="1:14" ht="21" x14ac:dyDescent="0.4">
      <c r="B4" s="150" t="s">
        <v>158</v>
      </c>
      <c r="C4" s="250">
        <v>45657</v>
      </c>
    </row>
    <row r="5" spans="1:14" ht="13.8" thickBot="1" x14ac:dyDescent="0.3">
      <c r="A5" s="116">
        <f>A12-C12</f>
        <v>0</v>
      </c>
      <c r="E5" s="116"/>
    </row>
    <row r="6" spans="1:14" ht="13.8" thickBot="1" x14ac:dyDescent="0.3">
      <c r="B6" s="422"/>
      <c r="C6" s="833"/>
    </row>
    <row r="7" spans="1:14" x14ac:dyDescent="0.25">
      <c r="B7" s="189"/>
      <c r="C7" s="804"/>
      <c r="D7" s="32"/>
      <c r="E7" s="189"/>
      <c r="F7" s="32"/>
      <c r="G7" s="32"/>
      <c r="H7" s="190"/>
      <c r="I7" s="233" t="s">
        <v>749</v>
      </c>
      <c r="J7" s="189" t="s">
        <v>749</v>
      </c>
      <c r="K7" s="781"/>
    </row>
    <row r="8" spans="1:14" x14ac:dyDescent="0.25">
      <c r="B8" s="405"/>
      <c r="C8" s="51"/>
      <c r="E8" s="23"/>
      <c r="G8" s="247"/>
      <c r="H8" s="240">
        <f>C4</f>
        <v>45657</v>
      </c>
      <c r="I8" s="689"/>
      <c r="J8" s="246"/>
      <c r="K8" s="782">
        <v>45291</v>
      </c>
      <c r="N8" s="367"/>
    </row>
    <row r="9" spans="1:14" x14ac:dyDescent="0.25">
      <c r="A9" s="7" t="s">
        <v>412</v>
      </c>
      <c r="B9" s="197" t="s">
        <v>162</v>
      </c>
      <c r="C9" s="51"/>
      <c r="E9" s="197" t="s">
        <v>99</v>
      </c>
      <c r="F9" s="7"/>
      <c r="G9" s="7"/>
      <c r="H9" s="683" t="s">
        <v>160</v>
      </c>
      <c r="I9" s="690" t="s">
        <v>101</v>
      </c>
      <c r="J9" s="774" t="s">
        <v>100</v>
      </c>
      <c r="K9" s="783" t="s">
        <v>84</v>
      </c>
      <c r="L9" s="7"/>
      <c r="M9" s="7"/>
      <c r="N9" s="7"/>
    </row>
    <row r="10" spans="1:14" x14ac:dyDescent="0.25">
      <c r="B10" s="249">
        <f>C4</f>
        <v>45657</v>
      </c>
      <c r="C10" s="51"/>
      <c r="E10" s="246"/>
      <c r="H10" s="51"/>
      <c r="I10" s="236"/>
      <c r="J10" s="23"/>
      <c r="K10" s="784"/>
      <c r="L10" s="7"/>
      <c r="M10" s="7"/>
    </row>
    <row r="11" spans="1:14" x14ac:dyDescent="0.25">
      <c r="A11" s="116"/>
      <c r="B11" s="23" t="s">
        <v>264</v>
      </c>
      <c r="C11" s="623">
        <v>0</v>
      </c>
      <c r="E11" s="606"/>
      <c r="F11" s="348"/>
      <c r="G11" s="116"/>
      <c r="H11" s="194"/>
      <c r="I11" s="238"/>
      <c r="J11" s="365"/>
      <c r="K11" s="785"/>
      <c r="L11" s="193"/>
      <c r="M11" s="193"/>
      <c r="N11" s="116"/>
    </row>
    <row r="12" spans="1:14" x14ac:dyDescent="0.25">
      <c r="A12" s="831">
        <v>13669.29</v>
      </c>
      <c r="B12" s="23" t="s">
        <v>266</v>
      </c>
      <c r="C12" s="623">
        <f>'pr 2024 uitgbr'!F80+'pr 2024 uitgbr'!F114+'pr 2024 uitgbr'!F157+'pr 2024 uitgbr'!F196+'pr 2024 uitgbr'!F92</f>
        <v>13669.289999999999</v>
      </c>
      <c r="E12" s="711" t="s">
        <v>600</v>
      </c>
      <c r="F12" s="712" t="s">
        <v>112</v>
      </c>
      <c r="G12" s="517"/>
      <c r="H12" s="686">
        <f>K12+J12+I12</f>
        <v>0</v>
      </c>
      <c r="I12" s="692"/>
      <c r="J12" s="776"/>
      <c r="K12" s="787">
        <f>'pr 2024 uitgbr'!F27</f>
        <v>0</v>
      </c>
      <c r="L12" s="193"/>
      <c r="M12" s="193"/>
      <c r="N12" s="116"/>
    </row>
    <row r="13" spans="1:14" ht="15.6" x14ac:dyDescent="0.3">
      <c r="B13" s="617"/>
      <c r="C13" s="51"/>
      <c r="E13" s="521"/>
      <c r="F13" s="348"/>
      <c r="G13" s="116"/>
      <c r="H13" s="686">
        <f t="shared" ref="H13:H21" si="0">K13+J13+I13</f>
        <v>0</v>
      </c>
      <c r="I13" s="692"/>
      <c r="J13" s="776"/>
      <c r="K13" s="787"/>
      <c r="L13" s="193"/>
      <c r="M13" s="193"/>
      <c r="N13" s="116"/>
    </row>
    <row r="14" spans="1:14" ht="15.6" x14ac:dyDescent="0.3">
      <c r="B14" s="617"/>
      <c r="C14" s="194"/>
      <c r="E14" s="708" t="s">
        <v>83</v>
      </c>
      <c r="F14" s="717" t="s">
        <v>115</v>
      </c>
      <c r="G14" s="422"/>
      <c r="H14" s="686">
        <f t="shared" si="0"/>
        <v>10336.130000000001</v>
      </c>
      <c r="I14" s="709">
        <f>'pr 2024 uitgbr'!F49</f>
        <v>0</v>
      </c>
      <c r="J14" s="777">
        <f>'pr 2024 uitgbr'!F53</f>
        <v>112.38</v>
      </c>
      <c r="K14" s="788">
        <f>'pr 2024 uitgbr'!F45</f>
        <v>10223.750000000002</v>
      </c>
      <c r="L14" s="193"/>
      <c r="M14" s="193"/>
      <c r="N14" s="422"/>
    </row>
    <row r="15" spans="1:14" x14ac:dyDescent="0.25">
      <c r="B15" s="365"/>
      <c r="C15" s="51"/>
      <c r="E15" s="521"/>
      <c r="F15" s="348"/>
      <c r="G15" s="116"/>
      <c r="H15" s="686">
        <f t="shared" si="0"/>
        <v>0</v>
      </c>
      <c r="I15" s="692"/>
      <c r="J15" s="778"/>
      <c r="K15" s="789"/>
      <c r="L15" s="193"/>
      <c r="M15" s="193"/>
      <c r="N15" s="193"/>
    </row>
    <row r="16" spans="1:14" x14ac:dyDescent="0.25">
      <c r="B16" s="406"/>
      <c r="C16" s="194"/>
      <c r="E16" s="521" t="s">
        <v>88</v>
      </c>
      <c r="F16" s="348" t="s">
        <v>116</v>
      </c>
      <c r="G16" s="116"/>
      <c r="H16" s="686">
        <f t="shared" si="0"/>
        <v>969.70999999999958</v>
      </c>
      <c r="I16" s="692">
        <f>'pr 2024 uitgbr'!F76</f>
        <v>0</v>
      </c>
      <c r="J16" s="776">
        <f>'pr 2024 uitgbr'!F79</f>
        <v>0</v>
      </c>
      <c r="K16" s="789">
        <f>'pr 2024 uitgbr'!F72</f>
        <v>969.70999999999958</v>
      </c>
      <c r="L16" s="193"/>
      <c r="M16" s="193"/>
      <c r="N16" s="193"/>
    </row>
    <row r="17" spans="1:14" x14ac:dyDescent="0.25">
      <c r="A17" s="831">
        <v>10336.129999999999</v>
      </c>
      <c r="B17" s="610" t="s">
        <v>265</v>
      </c>
      <c r="C17" s="623">
        <f>'pr 2024 uitgbr'!F54</f>
        <v>10336.130000000001</v>
      </c>
      <c r="E17" s="521" t="s">
        <v>735</v>
      </c>
      <c r="F17" s="348" t="s">
        <v>582</v>
      </c>
      <c r="G17" s="116"/>
      <c r="H17" s="686">
        <f t="shared" si="0"/>
        <v>5000</v>
      </c>
      <c r="I17" s="692">
        <f>'pr 2024 uitgbr'!F87</f>
        <v>0</v>
      </c>
      <c r="J17" s="778">
        <f>'pr 2024 uitgbr'!F91</f>
        <v>5000</v>
      </c>
      <c r="K17" s="789">
        <f>'pr 2024 uitgbr'!F83</f>
        <v>0</v>
      </c>
      <c r="L17" s="193"/>
      <c r="M17" s="193"/>
      <c r="N17" s="193"/>
    </row>
    <row r="18" spans="1:14" ht="15.6" x14ac:dyDescent="0.3">
      <c r="B18" s="617"/>
      <c r="C18" s="194"/>
      <c r="E18" s="521" t="s">
        <v>226</v>
      </c>
      <c r="F18" t="s">
        <v>141</v>
      </c>
      <c r="G18" s="116"/>
      <c r="H18" s="686">
        <f t="shared" si="0"/>
        <v>589.88000000000011</v>
      </c>
      <c r="I18" s="692">
        <f>'pr 2024 uitgbr'!F109</f>
        <v>0</v>
      </c>
      <c r="J18" s="778">
        <f>'pr 2024 uitgbr'!F113</f>
        <v>0</v>
      </c>
      <c r="K18" s="789">
        <f>'pr 2024 uitgbr'!F105</f>
        <v>589.88000000000011</v>
      </c>
      <c r="L18" s="193"/>
      <c r="M18" s="193"/>
      <c r="N18" s="193"/>
    </row>
    <row r="19" spans="1:14" ht="15.6" x14ac:dyDescent="0.3">
      <c r="B19" s="617">
        <v>0</v>
      </c>
      <c r="C19" s="194"/>
      <c r="E19" s="521"/>
      <c r="F19" s="348"/>
      <c r="G19" s="116"/>
      <c r="H19" s="686">
        <f t="shared" si="0"/>
        <v>0</v>
      </c>
      <c r="I19" s="693"/>
      <c r="J19" s="776"/>
      <c r="K19" s="787"/>
      <c r="L19" s="193"/>
      <c r="M19" s="193"/>
      <c r="N19" s="116"/>
    </row>
    <row r="20" spans="1:14" x14ac:dyDescent="0.25">
      <c r="B20" s="365"/>
      <c r="C20" s="194"/>
      <c r="E20" s="521" t="s">
        <v>691</v>
      </c>
      <c r="F20" t="s">
        <v>692</v>
      </c>
      <c r="H20" s="686">
        <f t="shared" si="0"/>
        <v>6668.2899999999991</v>
      </c>
      <c r="I20" s="692">
        <f>'pr 2024 uitgbr'!F152</f>
        <v>-13924.74</v>
      </c>
      <c r="J20" s="778">
        <f>'pr 2024 uitgbr'!F156</f>
        <v>12286</v>
      </c>
      <c r="K20" s="787">
        <f>'pr 2024 uitgbr'!F142</f>
        <v>8307.0299999999988</v>
      </c>
      <c r="L20" s="193"/>
      <c r="M20" s="193"/>
      <c r="N20" s="116"/>
    </row>
    <row r="21" spans="1:14" x14ac:dyDescent="0.25">
      <c r="B21" s="365"/>
      <c r="C21" s="194"/>
      <c r="E21" s="23"/>
      <c r="H21" s="686">
        <f t="shared" si="0"/>
        <v>0</v>
      </c>
      <c r="I21" s="691"/>
      <c r="J21" s="779"/>
      <c r="K21" s="790"/>
      <c r="L21" s="193"/>
      <c r="M21" s="193"/>
    </row>
    <row r="22" spans="1:14" x14ac:dyDescent="0.25">
      <c r="B22" s="365"/>
      <c r="C22" s="194"/>
      <c r="E22" s="23"/>
      <c r="H22" s="684"/>
      <c r="I22" s="691"/>
      <c r="J22" s="779"/>
      <c r="K22" s="790"/>
      <c r="L22" s="193"/>
      <c r="M22" s="193"/>
    </row>
    <row r="23" spans="1:14" x14ac:dyDescent="0.25">
      <c r="B23" s="365"/>
      <c r="C23" s="194"/>
      <c r="E23" s="23"/>
      <c r="H23" s="684"/>
      <c r="I23" s="691"/>
      <c r="J23" s="779"/>
      <c r="K23" s="790"/>
      <c r="L23" s="116"/>
      <c r="M23" s="116"/>
    </row>
    <row r="24" spans="1:14" ht="13.8" thickBot="1" x14ac:dyDescent="0.3">
      <c r="B24" s="520"/>
      <c r="C24" s="196"/>
      <c r="E24" s="523" t="s">
        <v>631</v>
      </c>
      <c r="F24" s="86"/>
      <c r="G24" s="524"/>
      <c r="H24" s="687">
        <f>K24+J24+I24</f>
        <v>441.41</v>
      </c>
      <c r="I24" s="692">
        <f>'pr 2024 uitgbr'!F191</f>
        <v>-166.32</v>
      </c>
      <c r="J24" s="776">
        <f>'pr 2024 uitgbr'!F195</f>
        <v>0</v>
      </c>
      <c r="K24" s="791">
        <f>'pr 2024 uitgbr'!F176</f>
        <v>607.73</v>
      </c>
      <c r="L24" s="193"/>
      <c r="M24" s="193"/>
      <c r="N24" s="116"/>
    </row>
    <row r="25" spans="1:14" ht="16.2" thickBot="1" x14ac:dyDescent="0.35">
      <c r="A25" s="218">
        <f>A12+A17</f>
        <v>24005.42</v>
      </c>
      <c r="B25" s="185" t="s">
        <v>319</v>
      </c>
      <c r="C25" s="408">
        <f>C12+C17</f>
        <v>24005.42</v>
      </c>
      <c r="D25" s="187"/>
      <c r="E25" s="185" t="s">
        <v>79</v>
      </c>
      <c r="F25" s="187"/>
      <c r="G25" s="186"/>
      <c r="H25" s="688">
        <f>SUM(H12:H24)</f>
        <v>24005.420000000002</v>
      </c>
      <c r="I25" s="780">
        <f>SUM(I12:I24)</f>
        <v>-14091.06</v>
      </c>
      <c r="J25" s="780">
        <f>SUM(J12:J24)</f>
        <v>17398.38</v>
      </c>
      <c r="K25" s="792">
        <f>SUM(K12:K24)</f>
        <v>20698.099999999999</v>
      </c>
      <c r="L25" s="116"/>
      <c r="M25" s="116"/>
      <c r="N25" s="202"/>
    </row>
    <row r="26" spans="1:14" ht="13.8" thickBot="1" x14ac:dyDescent="0.3">
      <c r="B26" s="487"/>
      <c r="C26" s="488"/>
      <c r="E26" s="116"/>
      <c r="G26" s="422">
        <f>G24+H25</f>
        <v>24005.420000000002</v>
      </c>
      <c r="H26" s="116"/>
      <c r="I26" s="517"/>
      <c r="J26" s="517"/>
      <c r="K26" s="116"/>
      <c r="L26" s="116"/>
      <c r="M26" s="116"/>
    </row>
    <row r="27" spans="1:14" ht="15.6" x14ac:dyDescent="0.3">
      <c r="B27" s="830" t="s">
        <v>723</v>
      </c>
      <c r="C27" s="427">
        <f>SUM(H14:H21)</f>
        <v>23564.010000000002</v>
      </c>
      <c r="E27" s="116"/>
      <c r="F27" s="7"/>
      <c r="G27" s="202"/>
      <c r="H27" s="202"/>
      <c r="I27" s="422"/>
      <c r="J27" s="116"/>
      <c r="K27" s="753"/>
      <c r="L27" s="753"/>
      <c r="M27" s="753"/>
    </row>
    <row r="28" spans="1:14" ht="13.8" x14ac:dyDescent="0.25">
      <c r="B28" s="167"/>
      <c r="C28" s="407"/>
      <c r="E28" s="116"/>
      <c r="G28" s="193"/>
      <c r="H28" s="193"/>
      <c r="I28" s="116"/>
      <c r="J28" s="116"/>
      <c r="K28" s="753"/>
      <c r="L28" s="116"/>
      <c r="M28" s="116"/>
    </row>
    <row r="29" spans="1:14" x14ac:dyDescent="0.25">
      <c r="B29" s="429" t="s">
        <v>633</v>
      </c>
      <c r="C29" s="407">
        <f>C25-C27</f>
        <v>441.40999999999622</v>
      </c>
      <c r="E29" s="116"/>
      <c r="G29" s="116"/>
      <c r="H29" s="193"/>
      <c r="J29" s="116"/>
      <c r="L29" s="116"/>
      <c r="M29" s="116"/>
    </row>
    <row r="30" spans="1:14" ht="13.8" thickBot="1" x14ac:dyDescent="0.3">
      <c r="B30" s="167"/>
      <c r="C30" s="407"/>
      <c r="E30" s="116"/>
      <c r="G30" s="116"/>
      <c r="H30" s="193"/>
      <c r="I30" s="116"/>
      <c r="J30" s="116"/>
      <c r="K30" s="116"/>
    </row>
    <row r="31" spans="1:14" ht="13.8" thickBot="1" x14ac:dyDescent="0.3">
      <c r="B31" s="462" t="s">
        <v>98</v>
      </c>
      <c r="C31" s="463">
        <f>C27+C29</f>
        <v>24005.42</v>
      </c>
      <c r="E31" s="116"/>
      <c r="G31" s="116"/>
      <c r="H31" s="116"/>
      <c r="I31" s="116"/>
      <c r="J31" s="116"/>
      <c r="K31" s="422"/>
    </row>
    <row r="33" spans="2:5" x14ac:dyDescent="0.25">
      <c r="C33" s="116"/>
    </row>
    <row r="37" spans="2:5" x14ac:dyDescent="0.25">
      <c r="B37" s="7"/>
    </row>
    <row r="39" spans="2:5" x14ac:dyDescent="0.25">
      <c r="B39" s="7"/>
      <c r="E39" s="7"/>
    </row>
    <row r="40" spans="2:5" x14ac:dyDescent="0.25">
      <c r="B40" s="7"/>
      <c r="E40" s="7"/>
    </row>
    <row r="41" spans="2:5" x14ac:dyDescent="0.25">
      <c r="B41" s="7"/>
      <c r="E41" s="7"/>
    </row>
  </sheetData>
  <pageMargins left="0.7" right="0.7" top="0.75" bottom="0.75" header="0.3" footer="0.3"/>
  <pageSetup paperSize="9" scale="67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0"/>
  <sheetViews>
    <sheetView topLeftCell="A15" workbookViewId="0">
      <selection activeCell="C31" sqref="C31"/>
    </sheetView>
  </sheetViews>
  <sheetFormatPr defaultRowHeight="13.2" x14ac:dyDescent="0.25"/>
  <cols>
    <col min="1" max="1" width="33.44140625" customWidth="1"/>
    <col min="2" max="2" width="6.33203125" customWidth="1"/>
    <col min="3" max="4" width="20" customWidth="1"/>
    <col min="5" max="5" width="6.5546875" customWidth="1"/>
    <col min="6" max="6" width="35" customWidth="1"/>
    <col min="7" max="7" width="7.88671875" customWidth="1"/>
    <col min="8" max="8" width="16" customWidth="1"/>
    <col min="9" max="9" width="17" customWidth="1"/>
    <col min="11" max="11" width="24.77734375" customWidth="1"/>
    <col min="13" max="13" width="15.5546875" customWidth="1"/>
  </cols>
  <sheetData>
    <row r="1" spans="1:13" ht="17.399999999999999" x14ac:dyDescent="0.3">
      <c r="A1" s="257" t="s">
        <v>168</v>
      </c>
      <c r="B1" s="258"/>
      <c r="C1" s="258"/>
      <c r="D1" s="258"/>
      <c r="E1" s="259"/>
      <c r="F1" s="260"/>
      <c r="G1" s="260"/>
      <c r="H1" s="260"/>
      <c r="I1" s="718"/>
    </row>
    <row r="2" spans="1:13" ht="21.6" thickBot="1" x14ac:dyDescent="0.45">
      <c r="A2" s="765" t="s">
        <v>624</v>
      </c>
      <c r="B2" s="8"/>
      <c r="C2" s="170" t="s">
        <v>625</v>
      </c>
      <c r="D2" s="170"/>
      <c r="E2" s="763"/>
      <c r="F2" s="764"/>
      <c r="G2" s="764"/>
      <c r="H2" s="764"/>
      <c r="I2" s="766"/>
    </row>
    <row r="3" spans="1:13" ht="15" x14ac:dyDescent="0.25">
      <c r="A3" s="269"/>
      <c r="B3" s="270"/>
      <c r="C3" s="270"/>
      <c r="D3" s="270"/>
      <c r="E3" s="271"/>
      <c r="F3" s="272"/>
      <c r="G3" s="272"/>
      <c r="H3" s="272"/>
      <c r="I3" s="453"/>
    </row>
    <row r="4" spans="1:13" ht="15.6" x14ac:dyDescent="0.3">
      <c r="A4" s="838" t="s">
        <v>626</v>
      </c>
      <c r="B4" s="839"/>
      <c r="C4" s="839"/>
      <c r="D4" s="839"/>
      <c r="E4" s="839"/>
      <c r="F4" s="839"/>
      <c r="G4" s="839"/>
      <c r="H4" s="839"/>
      <c r="I4" s="840"/>
    </row>
    <row r="5" spans="1:13" ht="15" x14ac:dyDescent="0.25">
      <c r="A5" s="279" t="s">
        <v>173</v>
      </c>
      <c r="B5" s="6"/>
      <c r="C5" s="6"/>
      <c r="D5" s="6"/>
      <c r="E5" s="4"/>
      <c r="F5" s="219" t="s">
        <v>174</v>
      </c>
      <c r="G5" s="219"/>
      <c r="H5" s="219"/>
      <c r="I5" s="454"/>
    </row>
    <row r="6" spans="1:13" ht="15" x14ac:dyDescent="0.25">
      <c r="A6" s="192"/>
      <c r="B6" s="7"/>
      <c r="C6" s="106">
        <v>44561</v>
      </c>
      <c r="D6" s="284">
        <v>44196</v>
      </c>
      <c r="E6" s="4"/>
      <c r="F6" s="285"/>
      <c r="G6" s="285"/>
      <c r="H6" s="220">
        <v>44561</v>
      </c>
      <c r="I6" s="286">
        <v>44196</v>
      </c>
    </row>
    <row r="7" spans="1:13" ht="15" x14ac:dyDescent="0.25">
      <c r="A7" s="192"/>
      <c r="B7" s="7"/>
      <c r="D7" s="7"/>
      <c r="E7" s="4"/>
      <c r="F7" s="285"/>
      <c r="G7" s="285"/>
      <c r="I7" s="51"/>
    </row>
    <row r="8" spans="1:13" ht="15" x14ac:dyDescent="0.25">
      <c r="A8" s="192" t="s">
        <v>522</v>
      </c>
      <c r="B8" s="7"/>
      <c r="C8" s="116">
        <f>'31 dec 2020'!C13</f>
        <v>0</v>
      </c>
      <c r="D8" s="193">
        <v>0</v>
      </c>
      <c r="E8" s="4"/>
      <c r="F8" s="343" t="s">
        <v>631</v>
      </c>
      <c r="G8" s="343"/>
      <c r="H8" s="343">
        <f>-SUM(H10:H18)+H20</f>
        <v>820.45999999999913</v>
      </c>
      <c r="I8" s="456">
        <v>1019.9599999999991</v>
      </c>
    </row>
    <row r="9" spans="1:13" ht="15" x14ac:dyDescent="0.25">
      <c r="A9" s="192" t="s">
        <v>293</v>
      </c>
      <c r="B9" s="7"/>
      <c r="C9" s="116">
        <f>'31 dec 2021'!C12</f>
        <v>9805.36</v>
      </c>
      <c r="D9" s="193">
        <v>4544.91</v>
      </c>
      <c r="E9" s="4"/>
      <c r="F9" s="221"/>
      <c r="G9" s="221"/>
      <c r="I9" s="51"/>
    </row>
    <row r="10" spans="1:13" ht="15" x14ac:dyDescent="0.25">
      <c r="A10" s="365"/>
      <c r="C10" s="116"/>
      <c r="D10" s="193"/>
      <c r="E10" s="4"/>
      <c r="F10" s="221"/>
      <c r="G10" s="348"/>
      <c r="H10" s="773"/>
      <c r="I10" s="751">
        <v>0</v>
      </c>
      <c r="K10" s="557"/>
      <c r="L10" s="557"/>
      <c r="M10" s="557"/>
    </row>
    <row r="11" spans="1:13" ht="15" x14ac:dyDescent="0.25">
      <c r="A11" s="23"/>
      <c r="C11" s="116"/>
      <c r="D11" s="193"/>
      <c r="E11" s="4"/>
      <c r="F11" s="221" t="str">
        <f>'31 dec 2019'!E19</f>
        <v>*Reservering diversen</v>
      </c>
      <c r="G11" s="348">
        <f>'31 dec 2019'!F19</f>
        <v>4</v>
      </c>
      <c r="H11" s="116">
        <f>'proj 2021'!F47</f>
        <v>80.7</v>
      </c>
      <c r="I11" s="194">
        <v>0.10000000000002274</v>
      </c>
      <c r="K11" s="221"/>
      <c r="L11" s="221"/>
    </row>
    <row r="12" spans="1:13" ht="15" x14ac:dyDescent="0.25">
      <c r="A12" s="192" t="s">
        <v>73</v>
      </c>
      <c r="B12" s="7"/>
      <c r="C12" s="116">
        <f>'31 dec 2021'!C17</f>
        <v>12121.65</v>
      </c>
      <c r="D12" s="193">
        <v>12999.529999999999</v>
      </c>
      <c r="E12" s="4"/>
      <c r="F12" s="221"/>
      <c r="G12" s="348"/>
      <c r="H12" s="422"/>
      <c r="I12" s="231"/>
      <c r="K12" s="221"/>
      <c r="L12" s="348"/>
      <c r="M12" s="517"/>
    </row>
    <row r="13" spans="1:13" ht="15" x14ac:dyDescent="0.25">
      <c r="A13" s="365"/>
      <c r="B13" s="116"/>
      <c r="C13" s="193"/>
      <c r="E13" s="4"/>
      <c r="F13" s="221" t="str">
        <f>'31 dec 2019'!E22</f>
        <v>*Te besteden 50 dingen boekje</v>
      </c>
      <c r="G13" s="348">
        <f>'31 dec 2019'!F22</f>
        <v>7</v>
      </c>
      <c r="H13" s="193">
        <f>'proj 2021'!F85</f>
        <v>12121.650000000001</v>
      </c>
      <c r="I13" s="231">
        <v>12999.53</v>
      </c>
      <c r="K13" s="221"/>
      <c r="L13" s="348"/>
      <c r="M13" s="116"/>
    </row>
    <row r="14" spans="1:13" ht="15" x14ac:dyDescent="0.25">
      <c r="A14" s="23"/>
      <c r="E14" s="4"/>
      <c r="F14" s="221" t="str">
        <f>'31 dec 2019'!E23</f>
        <v>*Basisonderwijs/st. Ronde Venen fonds</v>
      </c>
      <c r="G14" s="348">
        <f>'31 dec 2019'!F23</f>
        <v>8</v>
      </c>
      <c r="H14" s="193">
        <f>'proj 2021'!F100</f>
        <v>8503.84</v>
      </c>
      <c r="I14" s="231">
        <v>1250</v>
      </c>
      <c r="K14" s="221"/>
      <c r="L14" s="348"/>
      <c r="M14" s="193"/>
    </row>
    <row r="15" spans="1:13" ht="15" x14ac:dyDescent="0.25">
      <c r="A15" s="192"/>
      <c r="B15" s="7"/>
      <c r="C15" s="7"/>
      <c r="E15" s="4"/>
      <c r="F15" s="221"/>
      <c r="G15" s="348"/>
      <c r="H15" s="193"/>
      <c r="I15" s="231">
        <v>0</v>
      </c>
      <c r="K15" s="221"/>
      <c r="L15" s="348"/>
    </row>
    <row r="16" spans="1:13" ht="15" x14ac:dyDescent="0.25">
      <c r="A16" s="192"/>
      <c r="B16" s="7"/>
      <c r="C16" s="7"/>
      <c r="E16" s="4"/>
      <c r="F16" s="221"/>
      <c r="G16" s="348"/>
      <c r="H16" s="116"/>
      <c r="I16" s="194">
        <v>0</v>
      </c>
      <c r="K16" s="221"/>
      <c r="L16" s="348"/>
      <c r="M16" s="193"/>
    </row>
    <row r="17" spans="1:13" ht="15" x14ac:dyDescent="0.25">
      <c r="A17" s="192"/>
      <c r="B17" s="7"/>
      <c r="C17" s="7"/>
      <c r="E17" s="4"/>
      <c r="F17" s="221" t="str">
        <f>'31 dec 2019'!E27</f>
        <v>*Ontwikkeling NME (1)</v>
      </c>
      <c r="G17" s="348">
        <f>'31 dec 2019'!F27</f>
        <v>12</v>
      </c>
      <c r="H17" s="116">
        <f>'proj 2021'!F121</f>
        <v>375.87999999999988</v>
      </c>
      <c r="I17" s="194">
        <v>2274.85</v>
      </c>
      <c r="K17" s="221"/>
      <c r="L17" s="348"/>
      <c r="M17" s="193"/>
    </row>
    <row r="18" spans="1:13" ht="15" x14ac:dyDescent="0.25">
      <c r="A18" s="192"/>
      <c r="B18" s="7"/>
      <c r="C18" s="7"/>
      <c r="E18" s="4"/>
      <c r="F18" s="221" t="str">
        <f>'31 dec 2019'!E28</f>
        <v>Izettle</v>
      </c>
      <c r="G18" s="348">
        <f>'31 dec 2019'!F28</f>
        <v>13</v>
      </c>
      <c r="H18" s="116">
        <f>'proj 2021'!F176</f>
        <v>24.480000000000018</v>
      </c>
      <c r="I18" s="194">
        <v>0</v>
      </c>
      <c r="K18" s="221"/>
      <c r="L18" s="348"/>
      <c r="M18" s="116"/>
    </row>
    <row r="19" spans="1:13" ht="15.6" thickBot="1" x14ac:dyDescent="0.3">
      <c r="A19" s="309"/>
      <c r="B19" s="310"/>
      <c r="C19" s="310"/>
      <c r="D19" s="215"/>
      <c r="E19" s="311"/>
      <c r="F19" s="319"/>
      <c r="G19" s="767"/>
      <c r="H19" s="195"/>
      <c r="I19" s="196"/>
      <c r="K19" s="221"/>
      <c r="L19" s="348"/>
      <c r="M19" s="116"/>
    </row>
    <row r="20" spans="1:13" ht="15" x14ac:dyDescent="0.25">
      <c r="A20" s="406" t="s">
        <v>205</v>
      </c>
      <c r="B20" s="193"/>
      <c r="C20" s="193">
        <f>SUM(C8:C14)</f>
        <v>21927.010000000002</v>
      </c>
      <c r="D20" s="193">
        <v>17544.439999999999</v>
      </c>
      <c r="E20" s="4"/>
      <c r="F20" s="7"/>
      <c r="G20" s="7"/>
      <c r="H20" s="193">
        <f>C20</f>
        <v>21927.010000000002</v>
      </c>
      <c r="I20" s="231">
        <v>17544.439999999999</v>
      </c>
      <c r="K20" s="221"/>
      <c r="L20" s="348"/>
      <c r="M20" s="116"/>
    </row>
    <row r="21" spans="1:13" ht="15" x14ac:dyDescent="0.25">
      <c r="A21" s="192"/>
      <c r="B21" s="7"/>
      <c r="C21" s="7"/>
      <c r="D21" s="7"/>
      <c r="E21" s="4"/>
      <c r="F21" s="193"/>
      <c r="G21" s="7"/>
      <c r="H21" s="7"/>
      <c r="I21" s="191"/>
      <c r="K21" s="221"/>
      <c r="L21" s="348"/>
      <c r="M21" s="116"/>
    </row>
    <row r="22" spans="1:13" ht="15.6" thickBot="1" x14ac:dyDescent="0.3">
      <c r="A22" s="309" t="s">
        <v>412</v>
      </c>
      <c r="B22" s="215"/>
      <c r="C22" s="215"/>
      <c r="D22" s="195">
        <f>C20-D20</f>
        <v>4382.5700000000033</v>
      </c>
      <c r="E22" s="311"/>
      <c r="F22" s="310"/>
      <c r="G22" s="310"/>
      <c r="H22" s="310"/>
      <c r="I22" s="579"/>
      <c r="K22" s="116"/>
    </row>
    <row r="23" spans="1:13" ht="15.6" x14ac:dyDescent="0.3">
      <c r="A23" s="838"/>
      <c r="B23" s="839"/>
      <c r="C23" s="839"/>
      <c r="D23" s="839"/>
      <c r="E23" s="839"/>
      <c r="F23" s="839"/>
      <c r="G23" s="839"/>
      <c r="H23" s="839"/>
      <c r="I23" s="839"/>
    </row>
    <row r="24" spans="1:13" ht="13.8" x14ac:dyDescent="0.25">
      <c r="A24" s="321"/>
      <c r="B24" s="322"/>
      <c r="C24" s="322"/>
      <c r="D24" s="799"/>
      <c r="E24" s="324"/>
      <c r="F24" s="219"/>
      <c r="G24" s="219"/>
      <c r="H24" s="219"/>
      <c r="I24" s="219"/>
    </row>
    <row r="26" spans="1:13" ht="13.8" thickBot="1" x14ac:dyDescent="0.3"/>
    <row r="27" spans="1:13" ht="15.6" x14ac:dyDescent="0.3">
      <c r="A27" s="841" t="s">
        <v>627</v>
      </c>
      <c r="B27" s="842"/>
      <c r="C27" s="842"/>
      <c r="D27" s="842"/>
      <c r="E27" s="842"/>
      <c r="F27" s="842"/>
      <c r="G27" s="842"/>
      <c r="H27" s="842"/>
      <c r="I27" s="843"/>
    </row>
    <row r="28" spans="1:13" ht="13.8" x14ac:dyDescent="0.25">
      <c r="A28" s="321" t="s">
        <v>175</v>
      </c>
      <c r="B28" s="322"/>
      <c r="C28" s="322"/>
      <c r="D28" s="322"/>
      <c r="E28" s="324"/>
      <c r="F28" s="219" t="s">
        <v>176</v>
      </c>
      <c r="G28" s="219"/>
      <c r="H28" s="219"/>
      <c r="I28" s="454"/>
    </row>
    <row r="29" spans="1:13" x14ac:dyDescent="0.25">
      <c r="A29" s="23"/>
      <c r="C29">
        <v>2021</v>
      </c>
      <c r="D29">
        <v>2020</v>
      </c>
      <c r="E29" s="224"/>
      <c r="H29">
        <v>2021</v>
      </c>
      <c r="I29" s="51">
        <v>2020</v>
      </c>
    </row>
    <row r="30" spans="1:13" ht="13.8" x14ac:dyDescent="0.25">
      <c r="A30" s="42"/>
      <c r="B30" s="1"/>
      <c r="F30" s="7"/>
      <c r="G30" s="1"/>
      <c r="H30" s="116"/>
      <c r="I30" s="194"/>
    </row>
    <row r="31" spans="1:13" x14ac:dyDescent="0.25">
      <c r="A31" s="192" t="s">
        <v>67</v>
      </c>
      <c r="B31" s="7" t="s">
        <v>112</v>
      </c>
      <c r="D31" s="116"/>
      <c r="E31" s="7"/>
      <c r="F31" s="7" t="s">
        <v>211</v>
      </c>
      <c r="G31" s="7" t="s">
        <v>112</v>
      </c>
      <c r="H31" s="116">
        <f>'proj 2021'!F43</f>
        <v>-119.40000000000002</v>
      </c>
      <c r="I31" s="194">
        <v>-119.37</v>
      </c>
    </row>
    <row r="32" spans="1:13" x14ac:dyDescent="0.25">
      <c r="A32" s="192"/>
      <c r="B32" s="7"/>
      <c r="D32" s="116"/>
      <c r="E32" s="7"/>
      <c r="F32" s="7" t="str">
        <f>'project 2020'!B41</f>
        <v>Herinrichting Ruimte</v>
      </c>
      <c r="G32" s="7" t="s">
        <v>585</v>
      </c>
      <c r="H32" s="116"/>
      <c r="I32" s="194">
        <v>0</v>
      </c>
    </row>
    <row r="33" spans="1:11" x14ac:dyDescent="0.25">
      <c r="A33" s="25" t="s">
        <v>83</v>
      </c>
      <c r="B33" t="s">
        <v>115</v>
      </c>
      <c r="C33" s="193">
        <f>'proj 2021'!F84</f>
        <v>11.53</v>
      </c>
      <c r="D33" s="116">
        <v>39.1</v>
      </c>
      <c r="E33" s="7"/>
      <c r="F33" s="7" t="s">
        <v>83</v>
      </c>
      <c r="G33" t="s">
        <v>115</v>
      </c>
      <c r="H33" s="116">
        <f>'proj 2021'!F79</f>
        <v>-889.41</v>
      </c>
      <c r="I33" s="194">
        <v>-10902.73</v>
      </c>
    </row>
    <row r="34" spans="1:11" x14ac:dyDescent="0.25">
      <c r="A34" s="192" t="s">
        <v>88</v>
      </c>
      <c r="B34" t="s">
        <v>116</v>
      </c>
      <c r="C34" s="193">
        <f>'proj 2021'!F99</f>
        <v>8371.84</v>
      </c>
      <c r="D34" s="116">
        <v>0</v>
      </c>
      <c r="E34" s="7"/>
      <c r="F34" s="284" t="s">
        <v>153</v>
      </c>
      <c r="G34" t="s">
        <v>116</v>
      </c>
      <c r="H34" s="116">
        <f>'proj 2021'!F90</f>
        <v>-1118</v>
      </c>
      <c r="I34" s="194">
        <v>0</v>
      </c>
    </row>
    <row r="35" spans="1:11" x14ac:dyDescent="0.25">
      <c r="A35" s="192"/>
      <c r="C35" s="116"/>
      <c r="D35" s="116"/>
      <c r="E35" s="7"/>
      <c r="F35" s="284"/>
      <c r="H35" s="106"/>
      <c r="I35" s="194">
        <v>0</v>
      </c>
    </row>
    <row r="36" spans="1:11" x14ac:dyDescent="0.25">
      <c r="A36" s="344" t="s">
        <v>226</v>
      </c>
      <c r="B36" t="s">
        <v>141</v>
      </c>
      <c r="C36" s="193">
        <f>'proj 2021'!F120</f>
        <v>351.03</v>
      </c>
      <c r="D36" s="116">
        <v>248.85</v>
      </c>
      <c r="E36" s="7"/>
      <c r="F36" s="7" t="s">
        <v>226</v>
      </c>
      <c r="G36" s="7" t="s">
        <v>141</v>
      </c>
      <c r="H36" s="116">
        <f>'proj 2021'!F116</f>
        <v>-2250</v>
      </c>
      <c r="I36" s="51"/>
    </row>
    <row r="37" spans="1:11" x14ac:dyDescent="0.25">
      <c r="A37" s="344" t="s">
        <v>518</v>
      </c>
      <c r="B37" s="7" t="s">
        <v>520</v>
      </c>
      <c r="C37" s="116">
        <f>'proj 2021'!F175</f>
        <v>563.58000000000004</v>
      </c>
      <c r="D37" s="116">
        <v>279.58999999999997</v>
      </c>
      <c r="E37" s="221"/>
      <c r="F37" t="str">
        <f>'31 dec 2019'!E28</f>
        <v>Izettle</v>
      </c>
      <c r="G37" s="7" t="s">
        <v>520</v>
      </c>
      <c r="H37" s="116">
        <f>'proj 2021'!F159</f>
        <v>-538.6</v>
      </c>
      <c r="I37" s="194">
        <v>-279.58999999999997</v>
      </c>
    </row>
    <row r="38" spans="1:11" ht="13.8" thickBot="1" x14ac:dyDescent="0.3">
      <c r="A38" s="768"/>
      <c r="B38" s="641"/>
      <c r="D38" s="641"/>
      <c r="E38" s="298"/>
      <c r="F38" s="295"/>
      <c r="G38" s="295"/>
      <c r="H38" s="295"/>
      <c r="I38" s="216"/>
    </row>
    <row r="39" spans="1:11" ht="15.6" x14ac:dyDescent="0.3">
      <c r="A39" s="769" t="s">
        <v>219</v>
      </c>
      <c r="B39" s="646"/>
      <c r="C39" s="647">
        <f>SUM(C31:C38)</f>
        <v>9297.9800000000014</v>
      </c>
      <c r="D39" s="647">
        <f>SUM(D32:D37)</f>
        <v>567.54</v>
      </c>
      <c r="E39" s="648"/>
      <c r="F39" s="646" t="s">
        <v>218</v>
      </c>
      <c r="G39" s="646"/>
      <c r="H39" s="649">
        <f>SUM(H30:H37)</f>
        <v>-4915.41</v>
      </c>
      <c r="I39" s="770">
        <v>-11301.69</v>
      </c>
      <c r="K39" s="440"/>
    </row>
    <row r="40" spans="1:11" ht="15.6" x14ac:dyDescent="0.3">
      <c r="A40" s="23"/>
      <c r="E40" s="221"/>
      <c r="F40" s="346" t="s">
        <v>629</v>
      </c>
      <c r="G40" s="346"/>
      <c r="H40" s="347">
        <f>C39+H39</f>
        <v>4382.5700000000015</v>
      </c>
      <c r="I40" s="582"/>
    </row>
    <row r="41" spans="1:11" ht="13.8" x14ac:dyDescent="0.25">
      <c r="A41" s="192"/>
      <c r="C41" s="116"/>
      <c r="E41" s="221"/>
      <c r="F41" s="1" t="s">
        <v>630</v>
      </c>
      <c r="G41" s="1"/>
      <c r="H41" s="629"/>
      <c r="I41" s="771">
        <f>D39+I39</f>
        <v>-10734.150000000001</v>
      </c>
      <c r="K41" s="116"/>
    </row>
    <row r="42" spans="1:11" x14ac:dyDescent="0.25">
      <c r="A42" s="768"/>
      <c r="B42" s="641"/>
      <c r="C42" s="641"/>
      <c r="D42" s="296"/>
      <c r="E42" s="298"/>
      <c r="F42" s="641"/>
      <c r="G42" s="641"/>
      <c r="H42" s="641"/>
      <c r="I42" s="772"/>
    </row>
    <row r="43" spans="1:11" ht="13.8" x14ac:dyDescent="0.25">
      <c r="A43" s="42"/>
      <c r="B43" s="1"/>
      <c r="C43" s="1"/>
      <c r="D43" s="1"/>
      <c r="E43" s="324"/>
      <c r="I43" s="51"/>
      <c r="K43" s="116"/>
    </row>
    <row r="44" spans="1:11" ht="15" x14ac:dyDescent="0.25">
      <c r="A44" s="844" t="s">
        <v>200</v>
      </c>
      <c r="B44" s="845"/>
      <c r="C44" s="845"/>
      <c r="D44" s="845"/>
      <c r="E44" s="845"/>
      <c r="F44" s="845"/>
      <c r="G44" s="845"/>
      <c r="H44" s="845"/>
      <c r="I44" s="846"/>
      <c r="K44" s="434"/>
    </row>
    <row r="45" spans="1:11" ht="13.8" x14ac:dyDescent="0.25">
      <c r="A45" s="337"/>
      <c r="B45" s="338"/>
      <c r="C45" s="338"/>
      <c r="D45" s="338"/>
      <c r="E45" s="324"/>
      <c r="I45" s="51"/>
      <c r="K45" s="116"/>
    </row>
    <row r="46" spans="1:11" x14ac:dyDescent="0.25">
      <c r="A46" s="847" t="s">
        <v>201</v>
      </c>
      <c r="B46" s="848"/>
      <c r="C46" s="848"/>
      <c r="D46" s="848"/>
      <c r="E46" s="848"/>
      <c r="F46" s="848"/>
      <c r="G46" s="848"/>
      <c r="H46" s="848"/>
      <c r="I46" s="849"/>
    </row>
    <row r="47" spans="1:11" ht="14.4" thickBot="1" x14ac:dyDescent="0.3">
      <c r="A47" s="339"/>
      <c r="B47" s="340"/>
      <c r="C47" s="340"/>
      <c r="D47" s="340"/>
      <c r="E47" s="342"/>
      <c r="F47" s="215"/>
      <c r="G47" s="215"/>
      <c r="H47" s="215"/>
      <c r="I47" s="216"/>
      <c r="K47" s="116"/>
    </row>
    <row r="48" spans="1:11" x14ac:dyDescent="0.25">
      <c r="K48" s="116"/>
    </row>
    <row r="49" spans="6:13" x14ac:dyDescent="0.25">
      <c r="K49" s="116"/>
    </row>
    <row r="50" spans="6:13" x14ac:dyDescent="0.25">
      <c r="F50" s="116"/>
      <c r="H50" s="116"/>
      <c r="M50" s="116"/>
    </row>
  </sheetData>
  <mergeCells count="5">
    <mergeCell ref="A4:I4"/>
    <mergeCell ref="A23:I23"/>
    <mergeCell ref="A27:I27"/>
    <mergeCell ref="A44:I44"/>
    <mergeCell ref="A46:I4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33"/>
  <sheetViews>
    <sheetView topLeftCell="D1" workbookViewId="0">
      <selection activeCell="J12" sqref="J12"/>
    </sheetView>
  </sheetViews>
  <sheetFormatPr defaultRowHeight="13.2" x14ac:dyDescent="0.25"/>
  <cols>
    <col min="1" max="1" width="13.6640625" customWidth="1"/>
    <col min="2" max="2" width="43.44140625" customWidth="1"/>
    <col min="3" max="3" width="14.6640625" customWidth="1"/>
    <col min="4" max="4" width="1.6640625" customWidth="1"/>
    <col min="5" max="5" width="35" customWidth="1"/>
    <col min="6" max="6" width="4.109375" customWidth="1"/>
    <col min="7" max="7" width="14.6640625" customWidth="1"/>
    <col min="8" max="8" width="15.44140625" customWidth="1"/>
    <col min="9" max="9" width="16.6640625" customWidth="1"/>
    <col min="10" max="10" width="14.5546875" customWidth="1"/>
    <col min="11" max="11" width="18.33203125" customWidth="1"/>
    <col min="12" max="12" width="26.88671875" customWidth="1"/>
    <col min="13" max="13" width="15" customWidth="1"/>
  </cols>
  <sheetData>
    <row r="1" spans="1:13" ht="30" x14ac:dyDescent="0.5">
      <c r="B1" s="222" t="s">
        <v>142</v>
      </c>
    </row>
    <row r="4" spans="1:13" ht="21" x14ac:dyDescent="0.4">
      <c r="B4" s="150" t="s">
        <v>158</v>
      </c>
      <c r="C4" s="250">
        <v>44561</v>
      </c>
    </row>
    <row r="5" spans="1:13" x14ac:dyDescent="0.25">
      <c r="E5" s="116"/>
    </row>
    <row r="6" spans="1:13" ht="13.8" thickBot="1" x14ac:dyDescent="0.3">
      <c r="B6" s="328"/>
      <c r="C6" s="367"/>
    </row>
    <row r="7" spans="1:13" x14ac:dyDescent="0.25">
      <c r="A7" s="116"/>
      <c r="B7" s="189"/>
      <c r="C7" s="190"/>
      <c r="D7" s="32"/>
      <c r="E7" s="189"/>
      <c r="F7" s="32"/>
      <c r="G7" s="32" t="s">
        <v>159</v>
      </c>
      <c r="H7" s="190" t="s">
        <v>159</v>
      </c>
      <c r="I7" s="233" t="s">
        <v>161</v>
      </c>
      <c r="J7" s="189" t="s">
        <v>161</v>
      </c>
      <c r="K7" s="781">
        <v>-5175.3100000000004</v>
      </c>
    </row>
    <row r="8" spans="1:13" x14ac:dyDescent="0.25">
      <c r="A8" s="116"/>
      <c r="B8" s="23"/>
      <c r="C8" s="51"/>
      <c r="E8" s="23"/>
      <c r="G8" s="247">
        <f>C4</f>
        <v>44561</v>
      </c>
      <c r="H8" s="240">
        <f>C4</f>
        <v>44561</v>
      </c>
      <c r="I8" s="689">
        <f>C4</f>
        <v>44561</v>
      </c>
      <c r="J8" s="246">
        <f>C4</f>
        <v>44561</v>
      </c>
      <c r="K8" s="782">
        <v>44196</v>
      </c>
      <c r="M8" s="7"/>
    </row>
    <row r="9" spans="1:13" ht="13.8" thickBot="1" x14ac:dyDescent="0.3">
      <c r="B9" s="197" t="s">
        <v>162</v>
      </c>
      <c r="C9" s="51"/>
      <c r="E9" s="197" t="s">
        <v>99</v>
      </c>
      <c r="F9" s="7"/>
      <c r="G9" s="7" t="s">
        <v>102</v>
      </c>
      <c r="H9" s="683" t="s">
        <v>160</v>
      </c>
      <c r="I9" s="690" t="s">
        <v>101</v>
      </c>
      <c r="J9" s="774" t="s">
        <v>100</v>
      </c>
      <c r="K9" s="783" t="s">
        <v>84</v>
      </c>
      <c r="L9" s="7"/>
      <c r="M9" s="7"/>
    </row>
    <row r="10" spans="1:13" x14ac:dyDescent="0.25">
      <c r="A10" s="528" t="s">
        <v>383</v>
      </c>
      <c r="B10" s="249">
        <f>C4</f>
        <v>44561</v>
      </c>
      <c r="C10" s="51"/>
      <c r="E10" s="246">
        <f>C4</f>
        <v>44561</v>
      </c>
      <c r="H10" s="51"/>
      <c r="I10" s="236"/>
      <c r="J10" s="23"/>
      <c r="K10" s="784"/>
      <c r="L10" s="7"/>
    </row>
    <row r="11" spans="1:13" x14ac:dyDescent="0.25">
      <c r="A11" s="525">
        <f>'project 2020'!F11</f>
        <v>0</v>
      </c>
      <c r="B11" s="23" t="s">
        <v>264</v>
      </c>
      <c r="C11" s="623">
        <v>0</v>
      </c>
      <c r="E11" s="606"/>
      <c r="F11" s="348"/>
      <c r="G11" s="116"/>
      <c r="H11" s="194"/>
      <c r="I11" s="238"/>
      <c r="J11" s="365"/>
      <c r="K11" s="785"/>
      <c r="L11" s="193"/>
      <c r="M11" s="116"/>
    </row>
    <row r="12" spans="1:13" x14ac:dyDescent="0.25">
      <c r="A12" s="526">
        <f>'proj 2021'!F47+'proj 2021'!F100+'proj 2021'!F121+'proj 2021'!F176+'proj 2021'!F195</f>
        <v>9805.3600000000079</v>
      </c>
      <c r="B12" s="23" t="s">
        <v>266</v>
      </c>
      <c r="C12" s="623">
        <v>9805.36</v>
      </c>
      <c r="E12" s="711" t="str">
        <f>'proj 2021'!B10</f>
        <v>Reservering diversen bankkosten</v>
      </c>
      <c r="F12" s="712" t="str">
        <f>'proj 2021'!E10</f>
        <v>nr.4</v>
      </c>
      <c r="G12" s="517"/>
      <c r="H12" s="686">
        <f t="shared" ref="H12:H20" si="0">J12+K12+I12</f>
        <v>80.7</v>
      </c>
      <c r="I12" s="752">
        <f>'proj 2021'!F43</f>
        <v>-119.40000000000002</v>
      </c>
      <c r="J12" s="775">
        <f>'proj 2021'!F46</f>
        <v>200</v>
      </c>
      <c r="K12" s="786">
        <f>'proj 2021'!F29</f>
        <v>0.10000000000002274</v>
      </c>
      <c r="L12" s="193"/>
      <c r="M12" s="193"/>
    </row>
    <row r="13" spans="1:13" ht="15.6" x14ac:dyDescent="0.3">
      <c r="A13" s="526"/>
      <c r="B13" s="617">
        <f>C12-A12</f>
        <v>0</v>
      </c>
      <c r="C13" s="51"/>
      <c r="E13" s="521"/>
      <c r="F13" s="348"/>
      <c r="G13" s="116"/>
      <c r="H13" s="686">
        <f t="shared" si="0"/>
        <v>0</v>
      </c>
      <c r="I13" s="692"/>
      <c r="J13" s="776"/>
      <c r="K13" s="787"/>
      <c r="L13" s="193"/>
      <c r="M13" s="116"/>
    </row>
    <row r="14" spans="1:13" ht="15.6" x14ac:dyDescent="0.3">
      <c r="A14" s="525"/>
      <c r="B14" s="617"/>
      <c r="C14" s="194"/>
      <c r="E14" s="708" t="str">
        <f>'proj 2021'!B53</f>
        <v>50 dingen boekje</v>
      </c>
      <c r="F14" s="717" t="str">
        <f>'proj 2021'!E53</f>
        <v>nr.7</v>
      </c>
      <c r="G14" s="422"/>
      <c r="H14" s="686">
        <f t="shared" si="0"/>
        <v>12121.650000000001</v>
      </c>
      <c r="I14" s="709">
        <f>'proj 2021'!F79</f>
        <v>-889.41</v>
      </c>
      <c r="J14" s="777">
        <f>'proj 2021'!F84</f>
        <v>11.53</v>
      </c>
      <c r="K14" s="788">
        <f>'proj 2021'!F73</f>
        <v>12999.53</v>
      </c>
      <c r="L14" s="193"/>
      <c r="M14" s="116"/>
    </row>
    <row r="15" spans="1:13" x14ac:dyDescent="0.25">
      <c r="A15" s="525"/>
      <c r="B15" s="365"/>
      <c r="C15" s="51"/>
      <c r="E15" s="521"/>
      <c r="F15" s="348"/>
      <c r="G15" s="116"/>
      <c r="H15" s="707"/>
      <c r="I15" s="692"/>
      <c r="J15" s="778"/>
      <c r="K15" s="789"/>
      <c r="L15" s="193"/>
    </row>
    <row r="16" spans="1:13" x14ac:dyDescent="0.25">
      <c r="A16" s="525"/>
      <c r="B16" s="406"/>
      <c r="C16" s="194"/>
      <c r="E16" s="521" t="str">
        <f>'proj 2021'!B87</f>
        <v>Basis onderwijs</v>
      </c>
      <c r="F16" s="348" t="str">
        <f>'proj 2021'!E87</f>
        <v>nr.8</v>
      </c>
      <c r="G16" s="116"/>
      <c r="H16" s="707">
        <f t="shared" si="0"/>
        <v>8503.84</v>
      </c>
      <c r="I16" s="692">
        <f>'proj 2021'!F93</f>
        <v>-1118</v>
      </c>
      <c r="J16" s="776">
        <f>'proj 2021'!F99</f>
        <v>8371.84</v>
      </c>
      <c r="K16" s="789">
        <f>'proj 2021'!F88</f>
        <v>1250</v>
      </c>
      <c r="L16" s="193"/>
      <c r="M16" s="116"/>
    </row>
    <row r="17" spans="1:13" ht="13.8" thickBot="1" x14ac:dyDescent="0.3">
      <c r="A17" s="527">
        <f>'proj 2021'!F85</f>
        <v>12121.650000000001</v>
      </c>
      <c r="B17" s="610" t="s">
        <v>265</v>
      </c>
      <c r="C17" s="623">
        <v>12121.65</v>
      </c>
      <c r="E17" s="521"/>
      <c r="F17" s="348"/>
      <c r="G17" s="116"/>
      <c r="H17" s="707"/>
      <c r="I17" s="692"/>
      <c r="J17" s="778"/>
      <c r="K17" s="789">
        <f>M17+N17+L17</f>
        <v>0</v>
      </c>
      <c r="L17" s="193"/>
    </row>
    <row r="18" spans="1:13" ht="16.2" thickBot="1" x14ac:dyDescent="0.35">
      <c r="A18" s="527">
        <f>SUM(A11:A17)</f>
        <v>21927.010000000009</v>
      </c>
      <c r="B18" s="617">
        <f>A17-C17</f>
        <v>0</v>
      </c>
      <c r="C18" s="194"/>
      <c r="E18" s="521" t="str">
        <f>'proj 2021'!B110</f>
        <v>Stimulering NME</v>
      </c>
      <c r="F18" t="str">
        <f>'proj 2021'!E110</f>
        <v>nr 12</v>
      </c>
      <c r="G18" s="116"/>
      <c r="H18" s="707">
        <f t="shared" si="0"/>
        <v>375.88000000000011</v>
      </c>
      <c r="I18" s="692">
        <f>'proj 2021'!F116</f>
        <v>-2250</v>
      </c>
      <c r="J18" s="778">
        <f>'proj 2021'!F120</f>
        <v>351.03</v>
      </c>
      <c r="K18" s="789">
        <f>'proj 2021'!F111</f>
        <v>2274.85</v>
      </c>
      <c r="L18" s="193"/>
      <c r="M18" s="116"/>
    </row>
    <row r="19" spans="1:13" ht="15.6" x14ac:dyDescent="0.3">
      <c r="A19" s="422"/>
      <c r="B19" s="607"/>
      <c r="C19" s="194"/>
      <c r="E19" s="521"/>
      <c r="F19" s="348"/>
      <c r="G19" s="116"/>
      <c r="H19" s="707"/>
      <c r="I19" s="693"/>
      <c r="J19" s="776"/>
      <c r="K19" s="787"/>
      <c r="L19" s="193"/>
    </row>
    <row r="20" spans="1:13" x14ac:dyDescent="0.25">
      <c r="A20" s="328"/>
      <c r="B20" s="365"/>
      <c r="C20" s="194"/>
      <c r="E20" s="23" t="str">
        <f>'proj 2021'!B123</f>
        <v>IZETTLE (kas Conny)</v>
      </c>
      <c r="F20" t="str">
        <f>'proj 2021'!E123</f>
        <v>nr 13</v>
      </c>
      <c r="H20" s="707">
        <f t="shared" si="0"/>
        <v>24.480000000000018</v>
      </c>
      <c r="I20" s="691">
        <f>'proj 2021'!F159</f>
        <v>-538.6</v>
      </c>
      <c r="J20" s="779">
        <f>'proj 2021'!F175</f>
        <v>563.58000000000004</v>
      </c>
      <c r="K20" s="787">
        <f>'proj 2021'!F145</f>
        <v>-0.5</v>
      </c>
      <c r="L20" s="193"/>
      <c r="M20" s="116"/>
    </row>
    <row r="21" spans="1:13" x14ac:dyDescent="0.25">
      <c r="A21" s="422">
        <f>A17-C17</f>
        <v>0</v>
      </c>
      <c r="B21" s="365"/>
      <c r="C21" s="194"/>
      <c r="E21" s="23"/>
      <c r="H21" s="684"/>
      <c r="I21" s="691"/>
      <c r="J21" s="779"/>
      <c r="K21" s="790"/>
      <c r="L21" s="193"/>
    </row>
    <row r="22" spans="1:13" x14ac:dyDescent="0.25">
      <c r="A22" s="328"/>
      <c r="B22" s="365"/>
      <c r="C22" s="194"/>
      <c r="E22" s="23"/>
      <c r="H22" s="684"/>
      <c r="I22" s="691"/>
      <c r="J22" s="779"/>
      <c r="K22" s="790"/>
      <c r="L22" s="193"/>
    </row>
    <row r="23" spans="1:13" x14ac:dyDescent="0.25">
      <c r="A23" s="422"/>
      <c r="B23" s="23"/>
      <c r="C23" s="194"/>
      <c r="E23" s="23"/>
      <c r="H23" s="684"/>
      <c r="I23" s="691"/>
      <c r="J23" s="779"/>
      <c r="K23" s="790"/>
      <c r="L23" s="116"/>
      <c r="M23" s="116"/>
    </row>
    <row r="24" spans="1:13" ht="13.8" thickBot="1" x14ac:dyDescent="0.3">
      <c r="A24" s="422">
        <f>A18-C25</f>
        <v>0</v>
      </c>
      <c r="B24" s="520"/>
      <c r="C24" s="196"/>
      <c r="E24" s="523" t="s">
        <v>633</v>
      </c>
      <c r="F24" s="86" t="s">
        <v>243</v>
      </c>
      <c r="G24" s="524">
        <f>'proj 2021'!F195</f>
        <v>820.46000000000902</v>
      </c>
      <c r="H24" s="687"/>
      <c r="I24" s="692"/>
      <c r="J24" s="776"/>
      <c r="K24" s="791">
        <f>'proj 2021'!F195</f>
        <v>820.46000000000902</v>
      </c>
      <c r="L24" s="193"/>
    </row>
    <row r="25" spans="1:13" ht="16.2" thickBot="1" x14ac:dyDescent="0.35">
      <c r="B25" s="185" t="s">
        <v>319</v>
      </c>
      <c r="C25" s="408">
        <f>SUM(C10:C24)</f>
        <v>21927.010000000002</v>
      </c>
      <c r="D25" s="187"/>
      <c r="E25" s="185" t="s">
        <v>79</v>
      </c>
      <c r="F25" s="187"/>
      <c r="G25" s="186">
        <f>G24</f>
        <v>820.46000000000902</v>
      </c>
      <c r="H25" s="688">
        <f>SUM(H10:H24)</f>
        <v>21106.550000000003</v>
      </c>
      <c r="I25" s="694">
        <f>SUM(I11:I24)</f>
        <v>-4915.41</v>
      </c>
      <c r="J25" s="780">
        <f>SUM(J11:J24)</f>
        <v>9497.9800000000014</v>
      </c>
      <c r="K25" s="792">
        <f>SUM(K10:K24)</f>
        <v>17344.44000000001</v>
      </c>
      <c r="L25" s="116"/>
      <c r="M25" s="116"/>
    </row>
    <row r="26" spans="1:13" ht="13.8" thickBot="1" x14ac:dyDescent="0.3">
      <c r="A26" s="116"/>
      <c r="B26" s="487"/>
      <c r="C26" s="488"/>
      <c r="E26" s="116"/>
      <c r="G26" s="193"/>
      <c r="H26" s="116"/>
      <c r="I26" s="517"/>
      <c r="J26" s="517"/>
      <c r="K26" s="116"/>
      <c r="L26" s="116"/>
      <c r="M26" s="116"/>
    </row>
    <row r="27" spans="1:13" ht="15.6" x14ac:dyDescent="0.3">
      <c r="B27" s="426" t="s">
        <v>285</v>
      </c>
      <c r="C27" s="427">
        <f>H25</f>
        <v>21106.550000000003</v>
      </c>
      <c r="E27" s="116"/>
      <c r="F27" s="7"/>
      <c r="G27" s="202"/>
      <c r="H27" s="202"/>
      <c r="I27" s="422"/>
      <c r="J27" s="116"/>
      <c r="K27" s="753"/>
      <c r="L27" s="753"/>
    </row>
    <row r="28" spans="1:13" x14ac:dyDescent="0.25">
      <c r="A28" s="116"/>
      <c r="B28" s="428"/>
      <c r="C28" s="407"/>
      <c r="E28" s="116"/>
      <c r="G28" s="193"/>
      <c r="H28" s="193"/>
      <c r="I28" s="116"/>
      <c r="J28" s="116"/>
      <c r="K28" s="424"/>
      <c r="L28" s="116"/>
    </row>
    <row r="29" spans="1:13" x14ac:dyDescent="0.25">
      <c r="A29" s="116"/>
      <c r="B29" s="429" t="s">
        <v>632</v>
      </c>
      <c r="C29" s="407">
        <f>G24</f>
        <v>820.46000000000902</v>
      </c>
      <c r="E29" s="116"/>
      <c r="G29" s="116"/>
      <c r="H29" s="193"/>
      <c r="J29" s="116"/>
      <c r="L29" s="116"/>
    </row>
    <row r="30" spans="1:13" ht="13.8" thickBot="1" x14ac:dyDescent="0.3">
      <c r="B30" s="167"/>
      <c r="C30" s="407"/>
      <c r="E30" s="116"/>
      <c r="G30" s="116"/>
      <c r="H30" s="193"/>
      <c r="I30" s="116"/>
      <c r="J30" s="116"/>
      <c r="K30" s="116"/>
    </row>
    <row r="31" spans="1:13" ht="13.8" thickBot="1" x14ac:dyDescent="0.3">
      <c r="A31" s="116"/>
      <c r="B31" s="462" t="s">
        <v>98</v>
      </c>
      <c r="C31" s="463">
        <f>C27+C29</f>
        <v>21927.010000000013</v>
      </c>
      <c r="E31" s="116"/>
      <c r="G31" s="116"/>
      <c r="H31" s="116"/>
      <c r="I31" s="116"/>
      <c r="J31" s="116"/>
      <c r="K31" s="422"/>
    </row>
    <row r="33" spans="3:3" x14ac:dyDescent="0.25">
      <c r="C33" s="116">
        <f>C25-C31</f>
        <v>0</v>
      </c>
    </row>
  </sheetData>
  <pageMargins left="0.7" right="0.7" top="0.75" bottom="0.75" header="0.3" footer="0.3"/>
  <pageSetup paperSize="9" scale="56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195"/>
  <sheetViews>
    <sheetView topLeftCell="A169" zoomScale="85" zoomScaleNormal="85" workbookViewId="0">
      <selection activeCell="I176" sqref="I176"/>
    </sheetView>
  </sheetViews>
  <sheetFormatPr defaultRowHeight="13.2" x14ac:dyDescent="0.25"/>
  <cols>
    <col min="2" max="2" width="14.88671875" customWidth="1"/>
    <col min="3" max="3" width="11.88671875" customWidth="1"/>
    <col min="4" max="4" width="13.44140625" customWidth="1"/>
    <col min="5" max="6" width="17.6640625" customWidth="1"/>
    <col min="7" max="7" width="3.88671875" customWidth="1"/>
    <col min="8" max="8" width="17.109375" customWidth="1"/>
    <col min="9" max="9" width="18.5546875" customWidth="1"/>
  </cols>
  <sheetData>
    <row r="1" spans="2:9" ht="21" x14ac:dyDescent="0.4">
      <c r="B1" s="150" t="s">
        <v>587</v>
      </c>
      <c r="H1" t="s">
        <v>360</v>
      </c>
    </row>
    <row r="2" spans="2:9" ht="17.399999999999999" x14ac:dyDescent="0.3">
      <c r="B2" s="250">
        <f>'31 dec 2021'!C4</f>
        <v>44561</v>
      </c>
    </row>
    <row r="4" spans="2:9" ht="13.8" thickBot="1" x14ac:dyDescent="0.3"/>
    <row r="5" spans="2:9" ht="16.2" thickBot="1" x14ac:dyDescent="0.35">
      <c r="B5" s="379" t="s">
        <v>1</v>
      </c>
      <c r="C5" s="379"/>
      <c r="D5" s="379"/>
      <c r="E5" s="379" t="s">
        <v>588</v>
      </c>
      <c r="F5" s="725" t="s">
        <v>554</v>
      </c>
      <c r="G5" s="675"/>
      <c r="H5" s="725" t="s">
        <v>564</v>
      </c>
      <c r="I5" s="728"/>
    </row>
    <row r="6" spans="2:9" ht="13.8" thickBot="1" x14ac:dyDescent="0.3"/>
    <row r="7" spans="2:9" ht="16.2" thickBot="1" x14ac:dyDescent="0.35">
      <c r="B7" s="379" t="s">
        <v>108</v>
      </c>
      <c r="C7" s="156"/>
      <c r="D7" s="157"/>
      <c r="E7" s="199" t="s">
        <v>109</v>
      </c>
      <c r="F7" s="658" t="s">
        <v>421</v>
      </c>
      <c r="G7" s="659"/>
    </row>
    <row r="8" spans="2:9" ht="16.2" thickBot="1" x14ac:dyDescent="0.35">
      <c r="B8" s="660" t="s">
        <v>0</v>
      </c>
      <c r="C8" s="661"/>
      <c r="D8" s="661"/>
      <c r="E8" s="662" t="s">
        <v>111</v>
      </c>
      <c r="F8" s="585" t="s">
        <v>420</v>
      </c>
      <c r="G8" s="663"/>
    </row>
    <row r="9" spans="2:9" ht="16.2" thickBot="1" x14ac:dyDescent="0.35">
      <c r="B9" s="13"/>
      <c r="C9" s="8"/>
      <c r="D9" s="8"/>
      <c r="E9" s="8"/>
      <c r="F9" s="8"/>
    </row>
    <row r="10" spans="2:9" ht="15.6" x14ac:dyDescent="0.3">
      <c r="B10" s="382" t="s">
        <v>600</v>
      </c>
      <c r="C10" s="156"/>
      <c r="D10" s="156"/>
      <c r="E10" s="199" t="s">
        <v>112</v>
      </c>
      <c r="F10" s="383"/>
    </row>
    <row r="11" spans="2:9" ht="18.600000000000001" customHeight="1" thickBot="1" x14ac:dyDescent="0.35">
      <c r="B11" s="507">
        <v>43830</v>
      </c>
      <c r="C11" s="508" t="s">
        <v>2</v>
      </c>
      <c r="D11" s="508"/>
      <c r="E11" s="508"/>
      <c r="F11" s="104">
        <f>'project 2019'!F66</f>
        <v>354.98</v>
      </c>
    </row>
    <row r="12" spans="2:9" ht="16.2" hidden="1" thickBot="1" x14ac:dyDescent="0.35">
      <c r="B12" s="589"/>
      <c r="C12" s="590" t="s">
        <v>528</v>
      </c>
      <c r="D12" s="590"/>
      <c r="E12" s="591"/>
      <c r="F12" s="449"/>
    </row>
    <row r="13" spans="2:9" ht="16.2" hidden="1" thickBot="1" x14ac:dyDescent="0.35">
      <c r="B13" s="387">
        <v>43833</v>
      </c>
      <c r="C13" s="170" t="s">
        <v>67</v>
      </c>
      <c r="D13" s="170"/>
      <c r="E13" s="165"/>
      <c r="F13" s="210">
        <v>-9.9499999999999993</v>
      </c>
    </row>
    <row r="14" spans="2:9" ht="16.2" hidden="1" thickBot="1" x14ac:dyDescent="0.35">
      <c r="B14" s="387">
        <v>43863</v>
      </c>
      <c r="C14" s="170" t="s">
        <v>67</v>
      </c>
      <c r="D14" s="170"/>
      <c r="E14" s="165"/>
      <c r="F14" s="210">
        <v>-9.9499999999999993</v>
      </c>
    </row>
    <row r="15" spans="2:9" ht="16.2" hidden="1" thickBot="1" x14ac:dyDescent="0.35">
      <c r="B15" s="387"/>
      <c r="C15" s="170" t="s">
        <v>67</v>
      </c>
      <c r="D15" s="170"/>
      <c r="E15" s="165"/>
      <c r="F15" s="210">
        <v>-9.94</v>
      </c>
    </row>
    <row r="16" spans="2:9" ht="16.2" hidden="1" thickBot="1" x14ac:dyDescent="0.35">
      <c r="B16" s="387">
        <v>43923</v>
      </c>
      <c r="C16" s="170" t="s">
        <v>67</v>
      </c>
      <c r="D16" s="170"/>
      <c r="E16" s="165"/>
      <c r="F16" s="210">
        <v>-9.94</v>
      </c>
    </row>
    <row r="17" spans="2:9" ht="16.2" hidden="1" thickBot="1" x14ac:dyDescent="0.35">
      <c r="B17" s="387">
        <v>43956</v>
      </c>
      <c r="C17" s="170" t="s">
        <v>67</v>
      </c>
      <c r="D17" s="170"/>
      <c r="E17" s="165"/>
      <c r="F17" s="210">
        <v>-9.9600000000000009</v>
      </c>
    </row>
    <row r="18" spans="2:9" ht="16.2" hidden="1" thickBot="1" x14ac:dyDescent="0.35">
      <c r="B18" s="387">
        <v>43984</v>
      </c>
      <c r="C18" s="170" t="s">
        <v>67</v>
      </c>
      <c r="D18" s="170"/>
      <c r="E18" s="165"/>
      <c r="F18" s="210">
        <v>-9.93</v>
      </c>
    </row>
    <row r="19" spans="2:9" ht="10.5" hidden="1" customHeight="1" thickBot="1" x14ac:dyDescent="0.35">
      <c r="B19" s="387">
        <v>44014</v>
      </c>
      <c r="C19" s="170" t="s">
        <v>67</v>
      </c>
      <c r="D19" s="170"/>
      <c r="E19" s="165"/>
      <c r="F19" s="210">
        <v>-9.9600000000000009</v>
      </c>
    </row>
    <row r="20" spans="2:9" ht="15.6" hidden="1" x14ac:dyDescent="0.3">
      <c r="B20" s="387">
        <v>44047</v>
      </c>
      <c r="C20" s="170" t="s">
        <v>67</v>
      </c>
      <c r="D20" s="170"/>
      <c r="E20" s="165"/>
      <c r="F20" s="210">
        <v>-9.94</v>
      </c>
    </row>
    <row r="21" spans="2:9" ht="15.6" hidden="1" x14ac:dyDescent="0.3">
      <c r="B21" s="387">
        <v>44076</v>
      </c>
      <c r="C21" s="170" t="s">
        <v>67</v>
      </c>
      <c r="D21" s="170"/>
      <c r="E21" s="165"/>
      <c r="F21" s="210">
        <v>-9.94</v>
      </c>
    </row>
    <row r="22" spans="2:9" ht="15.6" hidden="1" x14ac:dyDescent="0.3">
      <c r="B22" s="387">
        <v>44106</v>
      </c>
      <c r="C22" s="170" t="s">
        <v>67</v>
      </c>
      <c r="D22" s="170"/>
      <c r="E22" s="165"/>
      <c r="F22" s="210">
        <v>-9.9600000000000009</v>
      </c>
    </row>
    <row r="23" spans="2:9" ht="16.2" hidden="1" thickBot="1" x14ac:dyDescent="0.35">
      <c r="B23" s="387">
        <v>44112</v>
      </c>
      <c r="C23" s="170" t="s">
        <v>559</v>
      </c>
      <c r="D23" s="170"/>
      <c r="E23" s="165"/>
      <c r="F23" s="210">
        <v>-235.51</v>
      </c>
      <c r="H23" s="725" t="s">
        <v>565</v>
      </c>
      <c r="I23" s="675"/>
    </row>
    <row r="24" spans="2:9" ht="15.6" hidden="1" x14ac:dyDescent="0.3">
      <c r="B24" s="387">
        <v>44138</v>
      </c>
      <c r="C24" s="170" t="s">
        <v>67</v>
      </c>
      <c r="D24" s="170"/>
      <c r="E24" s="165"/>
      <c r="F24" s="210">
        <v>-9.9499999999999993</v>
      </c>
    </row>
    <row r="25" spans="2:9" ht="15.6" hidden="1" x14ac:dyDescent="0.3">
      <c r="B25" s="387">
        <v>44167</v>
      </c>
      <c r="C25" s="170" t="s">
        <v>67</v>
      </c>
      <c r="D25" s="170"/>
      <c r="E25" s="165"/>
      <c r="F25" s="210">
        <v>-9.9499999999999993</v>
      </c>
    </row>
    <row r="26" spans="2:9" ht="16.2" hidden="1" thickBot="1" x14ac:dyDescent="0.35">
      <c r="B26" s="592"/>
      <c r="C26" s="593" t="s">
        <v>529</v>
      </c>
      <c r="D26" s="593"/>
      <c r="E26" s="594"/>
      <c r="F26" s="595">
        <f>SUM(F12:F25)</f>
        <v>-354.88</v>
      </c>
    </row>
    <row r="27" spans="2:9" ht="15.6" x14ac:dyDescent="0.3">
      <c r="B27" s="589"/>
      <c r="C27" s="590" t="s">
        <v>530</v>
      </c>
      <c r="D27" s="590"/>
      <c r="E27" s="591"/>
      <c r="F27" s="449"/>
      <c r="I27" s="247"/>
    </row>
    <row r="28" spans="2:9" ht="16.2" thickBot="1" x14ac:dyDescent="0.35">
      <c r="B28" s="592"/>
      <c r="C28" s="593" t="s">
        <v>532</v>
      </c>
      <c r="D28" s="593"/>
      <c r="E28" s="594"/>
      <c r="F28" s="595">
        <f>SUM(F27:F27)</f>
        <v>0</v>
      </c>
      <c r="I28" s="116"/>
    </row>
    <row r="29" spans="2:9" ht="16.2" thickBot="1" x14ac:dyDescent="0.35">
      <c r="B29" s="667">
        <v>44196</v>
      </c>
      <c r="C29" s="668" t="s">
        <v>2</v>
      </c>
      <c r="D29" s="668"/>
      <c r="E29" s="669"/>
      <c r="F29" s="670">
        <f>F11+F26+F28</f>
        <v>0.10000000000002274</v>
      </c>
      <c r="I29" s="116"/>
    </row>
    <row r="30" spans="2:9" ht="15.6" x14ac:dyDescent="0.3">
      <c r="B30" s="387"/>
      <c r="C30" s="170" t="s">
        <v>590</v>
      </c>
      <c r="D30" s="170"/>
      <c r="E30" s="165"/>
      <c r="F30" s="210"/>
      <c r="I30" s="116"/>
    </row>
    <row r="31" spans="2:9" ht="15.6" x14ac:dyDescent="0.3">
      <c r="B31" s="387">
        <v>44201</v>
      </c>
      <c r="C31" s="170" t="s">
        <v>67</v>
      </c>
      <c r="D31" s="170"/>
      <c r="E31" s="165"/>
      <c r="F31" s="210">
        <v>-9.9499999999999993</v>
      </c>
      <c r="H31" t="s">
        <v>376</v>
      </c>
      <c r="I31" s="116"/>
    </row>
    <row r="32" spans="2:9" ht="15.6" x14ac:dyDescent="0.3">
      <c r="B32" s="387">
        <v>44230</v>
      </c>
      <c r="C32" s="170" t="s">
        <v>67</v>
      </c>
      <c r="D32" s="170"/>
      <c r="E32" s="165"/>
      <c r="F32" s="210">
        <v>-9.9499999999999993</v>
      </c>
      <c r="H32" t="s">
        <v>376</v>
      </c>
      <c r="I32" s="116"/>
    </row>
    <row r="33" spans="2:9" ht="15.6" x14ac:dyDescent="0.3">
      <c r="B33" s="387">
        <v>44257</v>
      </c>
      <c r="C33" s="170" t="s">
        <v>67</v>
      </c>
      <c r="D33" s="170"/>
      <c r="E33" s="165"/>
      <c r="F33" s="210">
        <v>-9.9499999999999993</v>
      </c>
      <c r="H33" t="s">
        <v>376</v>
      </c>
      <c r="I33" s="116"/>
    </row>
    <row r="34" spans="2:9" ht="15.6" x14ac:dyDescent="0.3">
      <c r="B34" s="387">
        <v>44288</v>
      </c>
      <c r="C34" s="170" t="s">
        <v>67</v>
      </c>
      <c r="D34" s="170"/>
      <c r="E34" s="165"/>
      <c r="F34" s="210">
        <v>-9.9499999999999993</v>
      </c>
      <c r="H34" t="s">
        <v>376</v>
      </c>
      <c r="I34" s="116"/>
    </row>
    <row r="35" spans="2:9" ht="15.6" x14ac:dyDescent="0.3">
      <c r="B35" s="387">
        <v>44320</v>
      </c>
      <c r="C35" s="170" t="s">
        <v>67</v>
      </c>
      <c r="D35" s="170"/>
      <c r="E35" s="165"/>
      <c r="F35" s="210">
        <v>-9.9499999999999993</v>
      </c>
      <c r="H35" t="s">
        <v>376</v>
      </c>
      <c r="I35" s="116"/>
    </row>
    <row r="36" spans="2:9" ht="15.6" x14ac:dyDescent="0.3">
      <c r="B36" s="387">
        <v>44349</v>
      </c>
      <c r="C36" s="170" t="s">
        <v>67</v>
      </c>
      <c r="D36" s="170"/>
      <c r="E36" s="165"/>
      <c r="F36" s="210">
        <f>-9.95</f>
        <v>-9.9499999999999993</v>
      </c>
      <c r="H36" t="s">
        <v>376</v>
      </c>
      <c r="I36" s="116"/>
    </row>
    <row r="37" spans="2:9" ht="15.6" x14ac:dyDescent="0.3">
      <c r="B37" s="387">
        <v>44379</v>
      </c>
      <c r="C37" s="170" t="s">
        <v>67</v>
      </c>
      <c r="D37" s="170"/>
      <c r="E37" s="165"/>
      <c r="F37" s="210">
        <v>-9.9499999999999993</v>
      </c>
      <c r="H37" t="s">
        <v>376</v>
      </c>
      <c r="I37" s="116"/>
    </row>
    <row r="38" spans="2:9" ht="15.6" x14ac:dyDescent="0.3">
      <c r="B38" s="387">
        <v>44413</v>
      </c>
      <c r="C38" s="170" t="s">
        <v>67</v>
      </c>
      <c r="D38" s="170"/>
      <c r="E38" s="165"/>
      <c r="F38" s="210">
        <v>-9.9499999999999993</v>
      </c>
      <c r="H38" t="s">
        <v>376</v>
      </c>
      <c r="I38" s="116"/>
    </row>
    <row r="39" spans="2:9" ht="15.6" x14ac:dyDescent="0.3">
      <c r="B39" s="387">
        <v>44441</v>
      </c>
      <c r="C39" s="170" t="s">
        <v>67</v>
      </c>
      <c r="D39" s="170"/>
      <c r="E39" s="165"/>
      <c r="F39" s="210">
        <v>-9.9499999999999993</v>
      </c>
      <c r="H39" t="s">
        <v>376</v>
      </c>
      <c r="I39" s="116"/>
    </row>
    <row r="40" spans="2:9" ht="15.6" x14ac:dyDescent="0.3">
      <c r="B40" s="387">
        <v>44471</v>
      </c>
      <c r="C40" s="170" t="s">
        <v>615</v>
      </c>
      <c r="D40" s="170"/>
      <c r="E40" s="165"/>
      <c r="F40" s="210">
        <v>-9.9499999999999993</v>
      </c>
      <c r="H40" t="s">
        <v>376</v>
      </c>
      <c r="I40" s="116"/>
    </row>
    <row r="41" spans="2:9" ht="15.6" x14ac:dyDescent="0.3">
      <c r="B41" s="387">
        <v>44502</v>
      </c>
      <c r="C41" s="170" t="s">
        <v>67</v>
      </c>
      <c r="D41" s="170"/>
      <c r="E41" s="165"/>
      <c r="F41" s="210">
        <v>-9.9499999999999993</v>
      </c>
      <c r="H41" t="s">
        <v>376</v>
      </c>
      <c r="I41" s="116"/>
    </row>
    <row r="42" spans="2:9" ht="15.6" x14ac:dyDescent="0.3">
      <c r="B42" s="387">
        <v>44532</v>
      </c>
      <c r="C42" s="170" t="s">
        <v>67</v>
      </c>
      <c r="D42" s="170"/>
      <c r="E42" s="165"/>
      <c r="F42" s="210">
        <v>-9.9499999999999993</v>
      </c>
      <c r="H42" t="s">
        <v>376</v>
      </c>
      <c r="I42" s="116"/>
    </row>
    <row r="43" spans="2:9" ht="16.2" thickBot="1" x14ac:dyDescent="0.35">
      <c r="B43" s="592"/>
      <c r="C43" s="593" t="s">
        <v>589</v>
      </c>
      <c r="D43" s="740"/>
      <c r="E43" s="594"/>
      <c r="F43" s="595">
        <f>SUM(F31:F42)</f>
        <v>-119.40000000000002</v>
      </c>
      <c r="I43" s="116"/>
    </row>
    <row r="44" spans="2:9" ht="15.6" x14ac:dyDescent="0.3">
      <c r="B44" s="387"/>
      <c r="C44" s="170" t="s">
        <v>591</v>
      </c>
      <c r="D44" s="170"/>
      <c r="E44" s="165"/>
      <c r="F44" s="742"/>
      <c r="I44" s="116"/>
    </row>
    <row r="45" spans="2:9" ht="15.6" x14ac:dyDescent="0.3">
      <c r="B45" s="387">
        <v>44280</v>
      </c>
      <c r="C45" s="170" t="s">
        <v>598</v>
      </c>
      <c r="D45" s="170"/>
      <c r="E45" s="165"/>
      <c r="F45" s="759">
        <v>200</v>
      </c>
      <c r="H45" s="226" t="s">
        <v>509</v>
      </c>
      <c r="I45" s="794" t="s">
        <v>628</v>
      </c>
    </row>
    <row r="46" spans="2:9" ht="15.6" x14ac:dyDescent="0.3">
      <c r="B46" s="671"/>
      <c r="C46" s="665" t="s">
        <v>592</v>
      </c>
      <c r="D46" s="665"/>
      <c r="E46" s="666"/>
      <c r="F46" s="760">
        <f>SUM(F44:F45)</f>
        <v>200</v>
      </c>
      <c r="I46" s="116"/>
    </row>
    <row r="47" spans="2:9" ht="16.2" thickBot="1" x14ac:dyDescent="0.35">
      <c r="B47" s="98">
        <f>B2</f>
        <v>44561</v>
      </c>
      <c r="C47" s="92" t="s">
        <v>2</v>
      </c>
      <c r="D47" s="92"/>
      <c r="E47" s="509"/>
      <c r="F47" s="99">
        <f>F29+F43+F46</f>
        <v>80.7</v>
      </c>
      <c r="I47" s="116"/>
    </row>
    <row r="48" spans="2:9" ht="16.2" thickBot="1" x14ac:dyDescent="0.35">
      <c r="B48" s="417"/>
      <c r="C48" s="8"/>
      <c r="D48" s="8"/>
      <c r="E48" s="12"/>
      <c r="F48" s="202"/>
      <c r="I48" s="116"/>
    </row>
    <row r="49" spans="2:9" ht="15.6" x14ac:dyDescent="0.3">
      <c r="B49" s="223" t="s">
        <v>95</v>
      </c>
      <c r="C49" s="182"/>
      <c r="D49" s="157"/>
      <c r="E49" s="199" t="s">
        <v>114</v>
      </c>
      <c r="F49" s="176"/>
      <c r="I49" s="116"/>
    </row>
    <row r="50" spans="2:9" ht="16.2" thickBot="1" x14ac:dyDescent="0.35">
      <c r="B50" s="744">
        <v>44196</v>
      </c>
      <c r="C50" s="585" t="s">
        <v>2</v>
      </c>
      <c r="D50" s="585"/>
      <c r="E50" s="745"/>
      <c r="F50" s="746" t="s">
        <v>421</v>
      </c>
      <c r="G50" s="425"/>
      <c r="I50" s="193"/>
    </row>
    <row r="51" spans="2:9" ht="16.2" thickBot="1" x14ac:dyDescent="0.35">
      <c r="B51" s="417"/>
      <c r="C51" s="8"/>
      <c r="D51" s="8"/>
      <c r="E51" s="12"/>
      <c r="F51" s="202"/>
      <c r="I51" s="193"/>
    </row>
    <row r="52" spans="2:9" x14ac:dyDescent="0.25">
      <c r="B52" s="368" t="s">
        <v>131</v>
      </c>
      <c r="C52" s="369"/>
      <c r="D52" s="369"/>
      <c r="E52" s="369"/>
      <c r="F52" s="370"/>
      <c r="I52" s="116"/>
    </row>
    <row r="53" spans="2:9" ht="16.2" thickBot="1" x14ac:dyDescent="0.35">
      <c r="B53" s="747" t="s">
        <v>83</v>
      </c>
      <c r="C53" s="748"/>
      <c r="D53" s="162"/>
      <c r="E53" s="749" t="s">
        <v>115</v>
      </c>
      <c r="F53" s="178"/>
      <c r="I53" s="116"/>
    </row>
    <row r="54" spans="2:9" ht="16.2" hidden="1" thickBot="1" x14ac:dyDescent="0.35">
      <c r="B54" s="667">
        <v>43830</v>
      </c>
      <c r="C54" s="668" t="s">
        <v>2</v>
      </c>
      <c r="D54" s="668"/>
      <c r="E54" s="669"/>
      <c r="F54" s="670">
        <v>23863.16</v>
      </c>
    </row>
    <row r="55" spans="2:9" ht="15.6" hidden="1" x14ac:dyDescent="0.3">
      <c r="B55" s="387"/>
      <c r="C55" s="170" t="s">
        <v>528</v>
      </c>
      <c r="D55" s="170"/>
      <c r="E55" s="165"/>
      <c r="F55" s="210"/>
    </row>
    <row r="56" spans="2:9" ht="15.6" hidden="1" x14ac:dyDescent="0.3">
      <c r="B56" s="387">
        <v>43848</v>
      </c>
      <c r="C56" s="170" t="s">
        <v>539</v>
      </c>
      <c r="D56" s="170"/>
      <c r="E56" s="165"/>
      <c r="F56" s="210">
        <v>-19.63</v>
      </c>
    </row>
    <row r="57" spans="2:9" ht="15.6" hidden="1" x14ac:dyDescent="0.3">
      <c r="B57" s="387">
        <v>43874</v>
      </c>
      <c r="C57" s="170" t="s">
        <v>542</v>
      </c>
      <c r="D57" s="170"/>
      <c r="E57" s="165"/>
      <c r="F57" s="210">
        <v>-9198.51</v>
      </c>
    </row>
    <row r="58" spans="2:9" ht="15.6" hidden="1" x14ac:dyDescent="0.3">
      <c r="B58" s="387">
        <v>43965</v>
      </c>
      <c r="C58" s="170" t="s">
        <v>543</v>
      </c>
      <c r="D58" s="170"/>
      <c r="E58" s="165"/>
      <c r="F58" s="210">
        <v>-32</v>
      </c>
    </row>
    <row r="59" spans="2:9" ht="15.6" hidden="1" x14ac:dyDescent="0.3">
      <c r="B59" s="387">
        <v>44017</v>
      </c>
      <c r="C59" s="170" t="s">
        <v>544</v>
      </c>
      <c r="D59" s="170"/>
      <c r="E59" s="165"/>
      <c r="F59" s="210">
        <v>-135.05000000000001</v>
      </c>
    </row>
    <row r="60" spans="2:9" ht="15.6" hidden="1" x14ac:dyDescent="0.3">
      <c r="B60" s="387">
        <v>44099</v>
      </c>
      <c r="C60" s="170" t="s">
        <v>547</v>
      </c>
      <c r="D60" s="170"/>
      <c r="E60" s="165"/>
      <c r="F60" s="210">
        <v>-48</v>
      </c>
    </row>
    <row r="61" spans="2:9" ht="15.6" hidden="1" x14ac:dyDescent="0.3">
      <c r="B61" s="387">
        <v>44099</v>
      </c>
      <c r="C61" s="170" t="s">
        <v>548</v>
      </c>
      <c r="D61" s="170"/>
      <c r="E61" s="165"/>
      <c r="F61" s="210">
        <v>-39.869999999999997</v>
      </c>
    </row>
    <row r="62" spans="2:9" ht="15.6" hidden="1" x14ac:dyDescent="0.3">
      <c r="B62" s="387">
        <v>44099</v>
      </c>
      <c r="C62" s="170" t="s">
        <v>549</v>
      </c>
      <c r="D62" s="170"/>
      <c r="E62" s="165"/>
      <c r="F62" s="210">
        <v>-496.1</v>
      </c>
    </row>
    <row r="63" spans="2:9" ht="15.6" hidden="1" x14ac:dyDescent="0.3">
      <c r="B63" s="387">
        <v>44109</v>
      </c>
      <c r="C63" s="170" t="s">
        <v>551</v>
      </c>
      <c r="D63" s="170"/>
      <c r="E63" s="165"/>
      <c r="F63" s="210">
        <v>-362.15</v>
      </c>
      <c r="G63" s="95"/>
    </row>
    <row r="64" spans="2:9" ht="15.6" hidden="1" x14ac:dyDescent="0.3">
      <c r="B64" s="387">
        <v>44113</v>
      </c>
      <c r="C64" s="170" t="s">
        <v>573</v>
      </c>
      <c r="D64" s="170"/>
      <c r="E64" s="165"/>
      <c r="F64" s="210">
        <v>-217.49</v>
      </c>
      <c r="G64" s="95"/>
      <c r="H64" s="7"/>
    </row>
    <row r="65" spans="2:9" ht="15.6" hidden="1" x14ac:dyDescent="0.3">
      <c r="B65" s="387">
        <v>44124</v>
      </c>
      <c r="C65" s="170" t="s">
        <v>574</v>
      </c>
      <c r="D65" s="170"/>
      <c r="E65" s="165"/>
      <c r="F65" s="210">
        <v>-353.93</v>
      </c>
      <c r="G65" s="95"/>
    </row>
    <row r="66" spans="2:9" ht="15.6" hidden="1" x14ac:dyDescent="0.3">
      <c r="B66" s="671"/>
      <c r="C66" s="665" t="s">
        <v>529</v>
      </c>
      <c r="D66" s="665"/>
      <c r="E66" s="666"/>
      <c r="F66" s="672">
        <f>SUM(F55:F65)</f>
        <v>-10902.73</v>
      </c>
    </row>
    <row r="67" spans="2:9" ht="15.6" hidden="1" x14ac:dyDescent="0.3">
      <c r="B67" s="387"/>
      <c r="C67" s="170" t="s">
        <v>530</v>
      </c>
      <c r="D67" s="170"/>
      <c r="E67" s="165"/>
      <c r="F67" s="210"/>
    </row>
    <row r="68" spans="2:9" ht="15.6" hidden="1" x14ac:dyDescent="0.3">
      <c r="B68" s="387">
        <v>43831</v>
      </c>
      <c r="C68" s="170" t="s">
        <v>59</v>
      </c>
      <c r="D68" s="170"/>
      <c r="E68" s="165"/>
      <c r="F68" s="210">
        <v>1.6</v>
      </c>
    </row>
    <row r="69" spans="2:9" ht="15.6" hidden="1" x14ac:dyDescent="0.3">
      <c r="B69" s="387">
        <v>44039</v>
      </c>
      <c r="C69" s="170" t="s">
        <v>545</v>
      </c>
      <c r="D69" s="170"/>
      <c r="E69" s="165"/>
      <c r="F69" s="210">
        <v>17.5</v>
      </c>
    </row>
    <row r="70" spans="2:9" ht="15.6" hidden="1" x14ac:dyDescent="0.3">
      <c r="B70" s="387">
        <v>44113</v>
      </c>
      <c r="C70" s="170" t="s">
        <v>545</v>
      </c>
      <c r="D70" s="170"/>
      <c r="E70" s="165"/>
      <c r="F70" s="210">
        <v>20</v>
      </c>
      <c r="G70" s="95"/>
    </row>
    <row r="71" spans="2:9" ht="15.6" hidden="1" x14ac:dyDescent="0.3">
      <c r="B71" s="387"/>
      <c r="C71" s="170"/>
      <c r="D71" s="170"/>
      <c r="E71" s="165"/>
      <c r="F71" s="210"/>
    </row>
    <row r="72" spans="2:9" ht="15.6" hidden="1" x14ac:dyDescent="0.3">
      <c r="B72" s="671"/>
      <c r="C72" s="665" t="s">
        <v>531</v>
      </c>
      <c r="D72" s="665"/>
      <c r="E72" s="666"/>
      <c r="F72" s="672">
        <f>SUM(F67:F71)</f>
        <v>39.1</v>
      </c>
    </row>
    <row r="73" spans="2:9" ht="16.2" thickBot="1" x14ac:dyDescent="0.35">
      <c r="B73" s="98">
        <v>44196</v>
      </c>
      <c r="C73" s="92" t="s">
        <v>2</v>
      </c>
      <c r="D73" s="92"/>
      <c r="E73" s="509"/>
      <c r="F73" s="99">
        <f>F54+F66+F72</f>
        <v>12999.53</v>
      </c>
    </row>
    <row r="74" spans="2:9" ht="15.6" x14ac:dyDescent="0.3">
      <c r="B74" s="387"/>
      <c r="C74" s="170" t="s">
        <v>590</v>
      </c>
      <c r="D74" s="170"/>
      <c r="E74" s="165"/>
      <c r="F74" s="210"/>
    </row>
    <row r="75" spans="2:9" ht="15.6" x14ac:dyDescent="0.3">
      <c r="B75" s="387" t="s">
        <v>604</v>
      </c>
      <c r="C75" s="170" t="s">
        <v>605</v>
      </c>
      <c r="D75" s="170"/>
      <c r="E75" s="165"/>
      <c r="F75" s="210">
        <v>-10</v>
      </c>
      <c r="H75" s="7" t="s">
        <v>376</v>
      </c>
      <c r="I75" s="7" t="s">
        <v>606</v>
      </c>
    </row>
    <row r="76" spans="2:9" ht="15.6" x14ac:dyDescent="0.3">
      <c r="B76" s="387">
        <v>44438</v>
      </c>
      <c r="C76" s="170" t="s">
        <v>620</v>
      </c>
      <c r="D76" s="170"/>
      <c r="E76" s="165"/>
      <c r="F76" s="210">
        <v>-290.39999999999998</v>
      </c>
      <c r="H76" s="793" t="s">
        <v>634</v>
      </c>
    </row>
    <row r="77" spans="2:9" ht="15.6" x14ac:dyDescent="0.3">
      <c r="B77" s="387">
        <v>44471</v>
      </c>
      <c r="C77" s="170" t="s">
        <v>617</v>
      </c>
      <c r="D77" s="170"/>
      <c r="E77" s="165"/>
      <c r="F77" s="210">
        <v>-362.15</v>
      </c>
      <c r="H77" s="793" t="s">
        <v>634</v>
      </c>
    </row>
    <row r="78" spans="2:9" ht="15.6" x14ac:dyDescent="0.3">
      <c r="B78" s="387" t="s">
        <v>618</v>
      </c>
      <c r="C78" s="170" t="s">
        <v>619</v>
      </c>
      <c r="D78" s="170"/>
      <c r="E78" s="165"/>
      <c r="F78" s="210">
        <v>-226.86</v>
      </c>
      <c r="H78" s="793" t="s">
        <v>634</v>
      </c>
    </row>
    <row r="79" spans="2:9" ht="16.2" thickBot="1" x14ac:dyDescent="0.35">
      <c r="B79" s="592"/>
      <c r="C79" s="593" t="s">
        <v>589</v>
      </c>
      <c r="D79" s="740"/>
      <c r="E79" s="594"/>
      <c r="F79" s="741">
        <f>SUM(F75:F78)</f>
        <v>-889.41</v>
      </c>
    </row>
    <row r="80" spans="2:9" ht="15.6" x14ac:dyDescent="0.3">
      <c r="B80" s="589"/>
      <c r="C80" s="590" t="s">
        <v>591</v>
      </c>
      <c r="D80" s="590"/>
      <c r="E80" s="591"/>
      <c r="F80" s="750"/>
    </row>
    <row r="81" spans="2:9" ht="15.6" x14ac:dyDescent="0.3">
      <c r="B81" s="387">
        <v>44197</v>
      </c>
      <c r="C81" s="170" t="s">
        <v>59</v>
      </c>
      <c r="D81" s="170"/>
      <c r="E81" s="165"/>
      <c r="F81" s="742">
        <v>1.53</v>
      </c>
      <c r="H81" t="s">
        <v>376</v>
      </c>
    </row>
    <row r="82" spans="2:9" ht="15.6" x14ac:dyDescent="0.3">
      <c r="B82" s="387">
        <v>44312</v>
      </c>
      <c r="C82" s="170" t="s">
        <v>603</v>
      </c>
      <c r="D82" s="170"/>
      <c r="E82" s="165"/>
      <c r="F82" s="742">
        <v>10</v>
      </c>
      <c r="H82" s="7" t="s">
        <v>376</v>
      </c>
      <c r="I82" s="7" t="s">
        <v>334</v>
      </c>
    </row>
    <row r="83" spans="2:9" ht="15.6" x14ac:dyDescent="0.3">
      <c r="B83" s="387"/>
      <c r="C83" s="170"/>
      <c r="D83" s="170"/>
      <c r="E83" s="165"/>
      <c r="F83" s="742"/>
    </row>
    <row r="84" spans="2:9" ht="15.6" x14ac:dyDescent="0.3">
      <c r="B84" s="671"/>
      <c r="C84" s="665" t="s">
        <v>592</v>
      </c>
      <c r="D84" s="665"/>
      <c r="E84" s="666"/>
      <c r="F84" s="760">
        <f>SUM(F81:F83)</f>
        <v>11.53</v>
      </c>
    </row>
    <row r="85" spans="2:9" ht="16.2" thickBot="1" x14ac:dyDescent="0.35">
      <c r="B85" s="98">
        <f>B2</f>
        <v>44561</v>
      </c>
      <c r="C85" s="92" t="s">
        <v>2</v>
      </c>
      <c r="D85" s="92"/>
      <c r="E85" s="509"/>
      <c r="F85" s="99">
        <f>F73+F79+F84</f>
        <v>12121.650000000001</v>
      </c>
      <c r="H85" s="116"/>
    </row>
    <row r="86" spans="2:9" ht="16.2" thickBot="1" x14ac:dyDescent="0.35">
      <c r="B86" s="417"/>
      <c r="C86" s="8"/>
      <c r="D86" s="8"/>
      <c r="E86" s="12"/>
      <c r="F86" s="202"/>
    </row>
    <row r="87" spans="2:9" ht="15.6" x14ac:dyDescent="0.3">
      <c r="B87" s="223" t="s">
        <v>88</v>
      </c>
      <c r="C87" s="182"/>
      <c r="D87" s="182"/>
      <c r="E87" s="393" t="s">
        <v>116</v>
      </c>
      <c r="F87" s="394"/>
    </row>
    <row r="88" spans="2:9" ht="16.2" thickBot="1" x14ac:dyDescent="0.35">
      <c r="B88" s="98">
        <v>44196</v>
      </c>
      <c r="C88" s="92" t="s">
        <v>2</v>
      </c>
      <c r="D88" s="92"/>
      <c r="E88" s="509"/>
      <c r="F88" s="99">
        <v>1250</v>
      </c>
    </row>
    <row r="89" spans="2:9" ht="15.6" x14ac:dyDescent="0.3">
      <c r="B89" s="387"/>
      <c r="C89" s="170" t="s">
        <v>590</v>
      </c>
      <c r="D89" s="170"/>
      <c r="E89" s="165"/>
      <c r="F89" s="210"/>
    </row>
    <row r="90" spans="2:9" ht="15.6" x14ac:dyDescent="0.3">
      <c r="B90" s="387">
        <v>44461</v>
      </c>
      <c r="C90" s="170" t="s">
        <v>616</v>
      </c>
      <c r="D90" s="170"/>
      <c r="E90" s="165"/>
      <c r="F90" s="210">
        <v>-1118</v>
      </c>
      <c r="H90" s="425" t="s">
        <v>634</v>
      </c>
    </row>
    <row r="91" spans="2:9" ht="15.6" x14ac:dyDescent="0.3">
      <c r="B91" s="387"/>
      <c r="C91" s="170"/>
      <c r="D91" s="170"/>
      <c r="E91" s="165"/>
      <c r="F91" s="210"/>
    </row>
    <row r="92" spans="2:9" ht="15.6" x14ac:dyDescent="0.3">
      <c r="B92" s="387"/>
      <c r="C92" s="170"/>
      <c r="D92" s="170"/>
      <c r="E92" s="165"/>
      <c r="F92" s="210"/>
    </row>
    <row r="93" spans="2:9" ht="16.2" thickBot="1" x14ac:dyDescent="0.35">
      <c r="B93" s="592"/>
      <c r="C93" s="593" t="s">
        <v>589</v>
      </c>
      <c r="D93" s="740"/>
      <c r="E93" s="594"/>
      <c r="F93" s="741">
        <f>SUM(F90:F92)</f>
        <v>-1118</v>
      </c>
    </row>
    <row r="94" spans="2:9" ht="15.6" x14ac:dyDescent="0.3">
      <c r="B94" s="589"/>
      <c r="C94" s="590" t="s">
        <v>591</v>
      </c>
      <c r="D94" s="590"/>
      <c r="E94" s="591"/>
      <c r="F94" s="750"/>
    </row>
    <row r="95" spans="2:9" ht="15.6" x14ac:dyDescent="0.3">
      <c r="B95" s="387">
        <v>44362</v>
      </c>
      <c r="C95" s="170" t="s">
        <v>613</v>
      </c>
      <c r="D95" s="170"/>
      <c r="E95" s="165"/>
      <c r="F95" s="761">
        <v>1118</v>
      </c>
      <c r="H95" t="s">
        <v>376</v>
      </c>
    </row>
    <row r="96" spans="2:9" ht="15.6" x14ac:dyDescent="0.3">
      <c r="B96" s="387">
        <v>44516</v>
      </c>
      <c r="C96" s="170" t="s">
        <v>622</v>
      </c>
      <c r="D96" s="170"/>
      <c r="E96" s="165"/>
      <c r="F96" s="761">
        <v>253.84</v>
      </c>
      <c r="H96" t="s">
        <v>376</v>
      </c>
    </row>
    <row r="97" spans="2:9" ht="15.6" x14ac:dyDescent="0.3">
      <c r="B97" s="387">
        <v>44551</v>
      </c>
      <c r="C97" s="170" t="s">
        <v>623</v>
      </c>
      <c r="D97" s="170"/>
      <c r="E97" s="165"/>
      <c r="F97" s="761">
        <v>1000</v>
      </c>
      <c r="H97" t="s">
        <v>376</v>
      </c>
    </row>
    <row r="98" spans="2:9" ht="15.6" x14ac:dyDescent="0.3">
      <c r="B98" s="387">
        <v>44551</v>
      </c>
      <c r="C98" s="170" t="s">
        <v>623</v>
      </c>
      <c r="D98" s="170"/>
      <c r="E98" s="165"/>
      <c r="F98" s="761">
        <v>6000</v>
      </c>
      <c r="H98" t="s">
        <v>376</v>
      </c>
    </row>
    <row r="99" spans="2:9" ht="15.6" x14ac:dyDescent="0.3">
      <c r="B99" s="671"/>
      <c r="C99" s="665" t="s">
        <v>592</v>
      </c>
      <c r="D99" s="665"/>
      <c r="E99" s="666"/>
      <c r="F99" s="762">
        <f>SUM(F95:F98)</f>
        <v>8371.84</v>
      </c>
    </row>
    <row r="100" spans="2:9" ht="16.2" thickBot="1" x14ac:dyDescent="0.35">
      <c r="B100" s="98">
        <f>B2</f>
        <v>44561</v>
      </c>
      <c r="C100" s="92" t="s">
        <v>2</v>
      </c>
      <c r="D100" s="92"/>
      <c r="E100" s="509"/>
      <c r="F100" s="99">
        <f>F88+F93+F99</f>
        <v>8503.84</v>
      </c>
    </row>
    <row r="101" spans="2:9" ht="13.8" thickBot="1" x14ac:dyDescent="0.3"/>
    <row r="102" spans="2:9" ht="16.2" thickBot="1" x14ac:dyDescent="0.35">
      <c r="B102" s="223" t="s">
        <v>93</v>
      </c>
      <c r="C102" s="182"/>
      <c r="D102" s="182"/>
      <c r="E102" s="393" t="s">
        <v>117</v>
      </c>
      <c r="F102" s="394"/>
    </row>
    <row r="103" spans="2:9" ht="16.2" thickBot="1" x14ac:dyDescent="0.35">
      <c r="B103" s="673" t="str">
        <f>B102</f>
        <v>Oranje Fonds/NL doet</v>
      </c>
      <c r="C103" s="140"/>
      <c r="D103" s="147"/>
      <c r="E103" s="674" t="s">
        <v>563</v>
      </c>
      <c r="F103" s="675"/>
    </row>
    <row r="104" spans="2:9" ht="16.2" thickBot="1" x14ac:dyDescent="0.35">
      <c r="B104" s="9"/>
      <c r="C104" s="9"/>
      <c r="D104" s="9"/>
      <c r="E104" s="9"/>
      <c r="F104" s="10"/>
    </row>
    <row r="105" spans="2:9" ht="16.2" thickBot="1" x14ac:dyDescent="0.35">
      <c r="B105" s="673" t="s">
        <v>535</v>
      </c>
      <c r="C105" s="140"/>
      <c r="D105" s="147" t="s">
        <v>366</v>
      </c>
      <c r="E105" s="674" t="s">
        <v>423</v>
      </c>
      <c r="F105" s="675"/>
    </row>
    <row r="106" spans="2:9" ht="13.8" thickBot="1" x14ac:dyDescent="0.3">
      <c r="H106" s="348"/>
      <c r="I106" s="116"/>
    </row>
    <row r="107" spans="2:9" ht="16.2" thickBot="1" x14ac:dyDescent="0.35">
      <c r="B107" s="223" t="s">
        <v>122</v>
      </c>
      <c r="C107" s="182"/>
      <c r="D107" s="182"/>
      <c r="E107" s="397" t="s">
        <v>119</v>
      </c>
      <c r="F107" s="394"/>
      <c r="H107" s="348"/>
      <c r="I107" s="116"/>
    </row>
    <row r="108" spans="2:9" ht="16.2" thickBot="1" x14ac:dyDescent="0.35">
      <c r="B108" s="676"/>
      <c r="C108" s="674" t="s">
        <v>537</v>
      </c>
      <c r="D108" s="674"/>
      <c r="E108" s="677"/>
      <c r="F108" s="678"/>
    </row>
    <row r="109" spans="2:9" ht="16.2" thickBot="1" x14ac:dyDescent="0.35">
      <c r="B109" s="13"/>
      <c r="C109" s="203"/>
      <c r="D109" s="203"/>
      <c r="E109" s="202"/>
      <c r="F109" s="202"/>
    </row>
    <row r="110" spans="2:9" ht="15.6" x14ac:dyDescent="0.3">
      <c r="B110" s="223" t="s">
        <v>226</v>
      </c>
      <c r="C110" s="182"/>
      <c r="D110" s="182"/>
      <c r="E110" s="397" t="s">
        <v>141</v>
      </c>
      <c r="F110" s="394"/>
    </row>
    <row r="111" spans="2:9" ht="16.2" thickBot="1" x14ac:dyDescent="0.35">
      <c r="B111" s="98">
        <v>44196</v>
      </c>
      <c r="C111" s="92" t="s">
        <v>2</v>
      </c>
      <c r="D111" s="92"/>
      <c r="E111" s="509"/>
      <c r="F111" s="99">
        <v>2274.85</v>
      </c>
    </row>
    <row r="112" spans="2:9" ht="15.6" x14ac:dyDescent="0.3">
      <c r="B112" s="387"/>
      <c r="C112" s="170" t="s">
        <v>590</v>
      </c>
      <c r="D112" s="170"/>
      <c r="E112" s="165"/>
      <c r="F112" s="210"/>
    </row>
    <row r="113" spans="2:8" ht="15.6" x14ac:dyDescent="0.3">
      <c r="B113" s="387">
        <v>44392</v>
      </c>
      <c r="C113" s="170" t="s">
        <v>614</v>
      </c>
      <c r="D113" s="170"/>
      <c r="E113" s="165"/>
      <c r="F113" s="210">
        <v>-2250</v>
      </c>
      <c r="H113" s="425" t="s">
        <v>634</v>
      </c>
    </row>
    <row r="114" spans="2:8" ht="15.6" x14ac:dyDescent="0.3">
      <c r="B114" s="387"/>
      <c r="C114" s="170"/>
      <c r="D114" s="170"/>
      <c r="E114" s="165"/>
      <c r="F114" s="210"/>
    </row>
    <row r="115" spans="2:8" ht="15.6" x14ac:dyDescent="0.3">
      <c r="B115" s="387"/>
      <c r="C115" s="170"/>
      <c r="D115" s="170"/>
      <c r="E115" s="165"/>
      <c r="F115" s="210"/>
    </row>
    <row r="116" spans="2:8" ht="16.2" thickBot="1" x14ac:dyDescent="0.35">
      <c r="B116" s="592"/>
      <c r="C116" s="593" t="s">
        <v>589</v>
      </c>
      <c r="D116" s="740"/>
      <c r="E116" s="594"/>
      <c r="F116" s="741">
        <f>SUM(F113:F115)</f>
        <v>-2250</v>
      </c>
    </row>
    <row r="117" spans="2:8" ht="15.6" x14ac:dyDescent="0.3">
      <c r="B117" s="589"/>
      <c r="C117" s="590" t="s">
        <v>591</v>
      </c>
      <c r="D117" s="590"/>
      <c r="E117" s="591"/>
      <c r="F117" s="750"/>
    </row>
    <row r="118" spans="2:8" ht="15.6" x14ac:dyDescent="0.3">
      <c r="B118" s="387">
        <v>44293</v>
      </c>
      <c r="C118" s="170" t="s">
        <v>602</v>
      </c>
      <c r="D118" s="170"/>
      <c r="E118" s="165"/>
      <c r="F118" s="742">
        <v>351.03</v>
      </c>
      <c r="H118" t="s">
        <v>376</v>
      </c>
    </row>
    <row r="119" spans="2:8" ht="15.6" x14ac:dyDescent="0.3">
      <c r="B119" s="387"/>
      <c r="C119" s="170"/>
      <c r="D119" s="170"/>
      <c r="E119" s="165"/>
      <c r="F119" s="742"/>
    </row>
    <row r="120" spans="2:8" ht="15.6" x14ac:dyDescent="0.3">
      <c r="B120" s="671"/>
      <c r="C120" s="665" t="s">
        <v>592</v>
      </c>
      <c r="D120" s="665"/>
      <c r="E120" s="666"/>
      <c r="F120" s="743">
        <f>SUM(F117:F118)</f>
        <v>351.03</v>
      </c>
    </row>
    <row r="121" spans="2:8" ht="16.2" thickBot="1" x14ac:dyDescent="0.35">
      <c r="B121" s="98">
        <f>B2</f>
        <v>44561</v>
      </c>
      <c r="C121" s="92" t="s">
        <v>2</v>
      </c>
      <c r="D121" s="92"/>
      <c r="E121" s="509"/>
      <c r="F121" s="99">
        <f>F111+F116+F120</f>
        <v>375.87999999999988</v>
      </c>
    </row>
    <row r="122" spans="2:8" ht="13.8" thickBot="1" x14ac:dyDescent="0.3"/>
    <row r="123" spans="2:8" ht="16.2" thickBot="1" x14ac:dyDescent="0.35">
      <c r="B123" s="223" t="s">
        <v>593</v>
      </c>
      <c r="C123" s="182"/>
      <c r="D123" s="182"/>
      <c r="E123" s="397" t="s">
        <v>520</v>
      </c>
      <c r="F123" s="394"/>
    </row>
    <row r="124" spans="2:8" ht="4.5" customHeight="1" x14ac:dyDescent="0.3">
      <c r="B124" s="589"/>
      <c r="C124" s="590" t="s">
        <v>426</v>
      </c>
      <c r="D124" s="590"/>
      <c r="E124" s="620" t="s">
        <v>486</v>
      </c>
      <c r="F124" s="449"/>
    </row>
    <row r="125" spans="2:8" ht="15.6" hidden="1" x14ac:dyDescent="0.3">
      <c r="B125" s="387">
        <v>43727</v>
      </c>
      <c r="C125" s="170" t="s">
        <v>475</v>
      </c>
      <c r="D125" s="170"/>
      <c r="E125" s="165"/>
      <c r="F125" s="210">
        <v>0.97</v>
      </c>
      <c r="H125" s="624" t="s">
        <v>457</v>
      </c>
    </row>
    <row r="126" spans="2:8" ht="15.6" hidden="1" x14ac:dyDescent="0.3">
      <c r="B126" s="387">
        <v>43731</v>
      </c>
      <c r="C126" s="170" t="s">
        <v>475</v>
      </c>
      <c r="D126" s="170"/>
      <c r="E126" s="165"/>
      <c r="F126" s="210">
        <v>0.97</v>
      </c>
      <c r="H126" s="624" t="s">
        <v>457</v>
      </c>
    </row>
    <row r="127" spans="2:8" ht="15.6" hidden="1" x14ac:dyDescent="0.3">
      <c r="B127" s="387">
        <v>43761</v>
      </c>
      <c r="C127" s="170" t="s">
        <v>475</v>
      </c>
      <c r="D127" s="170"/>
      <c r="E127" s="165"/>
      <c r="F127" s="210">
        <v>10.69</v>
      </c>
      <c r="H127" s="624" t="s">
        <v>457</v>
      </c>
    </row>
    <row r="128" spans="2:8" ht="15.6" hidden="1" x14ac:dyDescent="0.3">
      <c r="B128" s="387">
        <v>43762</v>
      </c>
      <c r="C128" s="170" t="s">
        <v>475</v>
      </c>
      <c r="D128" s="170"/>
      <c r="E128" s="165"/>
      <c r="F128" s="210">
        <v>43.74</v>
      </c>
      <c r="H128" s="624" t="s">
        <v>457</v>
      </c>
    </row>
    <row r="129" spans="2:8" ht="15.6" hidden="1" x14ac:dyDescent="0.3">
      <c r="B129" s="387">
        <v>43766</v>
      </c>
      <c r="C129" s="170" t="s">
        <v>475</v>
      </c>
      <c r="D129" s="170"/>
      <c r="E129" s="165"/>
      <c r="F129" s="210">
        <v>18.48</v>
      </c>
      <c r="H129" s="624" t="s">
        <v>457</v>
      </c>
    </row>
    <row r="130" spans="2:8" ht="15.6" hidden="1" x14ac:dyDescent="0.3">
      <c r="B130" s="387">
        <v>43768</v>
      </c>
      <c r="C130" s="170" t="s">
        <v>475</v>
      </c>
      <c r="D130" s="170"/>
      <c r="E130" s="165"/>
      <c r="F130" s="210">
        <v>155.6</v>
      </c>
      <c r="H130" s="624" t="s">
        <v>457</v>
      </c>
    </row>
    <row r="131" spans="2:8" ht="15.6" hidden="1" x14ac:dyDescent="0.3">
      <c r="B131" s="387">
        <v>43811</v>
      </c>
      <c r="C131" s="170" t="s">
        <v>546</v>
      </c>
      <c r="D131" s="170"/>
      <c r="E131" s="165"/>
      <c r="F131" s="210">
        <v>48.61</v>
      </c>
      <c r="H131" s="624" t="s">
        <v>457</v>
      </c>
    </row>
    <row r="132" spans="2:8" ht="16.2" hidden="1" thickBot="1" x14ac:dyDescent="0.35">
      <c r="B132" s="592"/>
      <c r="C132" s="593" t="s">
        <v>427</v>
      </c>
      <c r="D132" s="593"/>
      <c r="E132" s="594"/>
      <c r="F132" s="595">
        <v>279.06</v>
      </c>
    </row>
    <row r="133" spans="2:8" ht="16.2" hidden="1" thickBot="1" x14ac:dyDescent="0.35">
      <c r="B133" s="98">
        <v>43830</v>
      </c>
      <c r="C133" s="92" t="s">
        <v>480</v>
      </c>
      <c r="D133" s="618"/>
      <c r="E133" s="509"/>
      <c r="F133" s="99">
        <v>0</v>
      </c>
    </row>
    <row r="134" spans="2:8" ht="15.6" hidden="1" x14ac:dyDescent="0.3">
      <c r="B134" s="589"/>
      <c r="C134" s="590" t="s">
        <v>530</v>
      </c>
      <c r="D134" s="679"/>
      <c r="E134" s="591"/>
      <c r="F134" s="449"/>
    </row>
    <row r="135" spans="2:8" ht="15.6" hidden="1" x14ac:dyDescent="0.3">
      <c r="B135" s="387">
        <v>44040</v>
      </c>
      <c r="C135" s="170" t="s">
        <v>475</v>
      </c>
      <c r="D135" s="228"/>
      <c r="E135" s="165"/>
      <c r="F135" s="210">
        <v>46.19</v>
      </c>
      <c r="H135" s="624" t="s">
        <v>457</v>
      </c>
    </row>
    <row r="136" spans="2:8" ht="15.6" hidden="1" x14ac:dyDescent="0.3">
      <c r="B136" s="387" t="s">
        <v>550</v>
      </c>
      <c r="C136" s="170" t="s">
        <v>475</v>
      </c>
      <c r="D136" s="228"/>
      <c r="E136" s="165"/>
      <c r="F136" s="210">
        <v>155.6</v>
      </c>
      <c r="H136" s="624" t="s">
        <v>457</v>
      </c>
    </row>
    <row r="137" spans="2:8" ht="15.6" hidden="1" x14ac:dyDescent="0.3">
      <c r="B137" s="387">
        <v>44105</v>
      </c>
      <c r="C137" s="170" t="s">
        <v>475</v>
      </c>
      <c r="D137" s="228"/>
      <c r="E137" s="165"/>
      <c r="F137" s="210">
        <v>58.35</v>
      </c>
      <c r="H137" s="624" t="s">
        <v>457</v>
      </c>
    </row>
    <row r="138" spans="2:8" ht="7.5" hidden="1" customHeight="1" x14ac:dyDescent="0.3">
      <c r="B138" s="387">
        <v>44114</v>
      </c>
      <c r="C138" s="170" t="s">
        <v>576</v>
      </c>
      <c r="D138" s="228"/>
      <c r="E138" s="165"/>
      <c r="F138" s="210">
        <v>19.45</v>
      </c>
      <c r="H138" s="624" t="s">
        <v>457</v>
      </c>
    </row>
    <row r="139" spans="2:8" ht="15.6" hidden="1" x14ac:dyDescent="0.3">
      <c r="B139" s="671"/>
      <c r="C139" s="665" t="s">
        <v>532</v>
      </c>
      <c r="D139" s="664"/>
      <c r="E139" s="666"/>
      <c r="F139" s="672">
        <f>SUM(F134:F138)</f>
        <v>279.58999999999997</v>
      </c>
    </row>
    <row r="140" spans="2:8" ht="15.6" hidden="1" x14ac:dyDescent="0.3">
      <c r="B140" s="387"/>
      <c r="C140" s="170" t="s">
        <v>528</v>
      </c>
      <c r="D140" s="228"/>
      <c r="E140" s="165"/>
      <c r="F140" s="210"/>
    </row>
    <row r="141" spans="2:8" ht="15.6" hidden="1" x14ac:dyDescent="0.3">
      <c r="B141" s="387">
        <v>44109</v>
      </c>
      <c r="C141" s="170" t="s">
        <v>478</v>
      </c>
      <c r="D141" s="228"/>
      <c r="E141" s="165"/>
      <c r="F141" s="210">
        <v>-260.14</v>
      </c>
      <c r="H141" s="624" t="s">
        <v>457</v>
      </c>
    </row>
    <row r="142" spans="2:8" ht="15.6" hidden="1" x14ac:dyDescent="0.3">
      <c r="B142" s="387">
        <v>44124</v>
      </c>
      <c r="C142" s="170" t="s">
        <v>575</v>
      </c>
      <c r="D142" s="228"/>
      <c r="E142" s="165"/>
      <c r="F142" s="210">
        <v>-19.95</v>
      </c>
      <c r="H142" s="624" t="s">
        <v>457</v>
      </c>
    </row>
    <row r="143" spans="2:8" ht="15.6" hidden="1" x14ac:dyDescent="0.3">
      <c r="B143" s="387"/>
      <c r="C143" s="170"/>
      <c r="D143" s="228"/>
      <c r="E143" s="165"/>
      <c r="F143" s="210"/>
    </row>
    <row r="144" spans="2:8" ht="15.6" x14ac:dyDescent="0.3">
      <c r="B144" s="671"/>
      <c r="C144" s="665" t="s">
        <v>533</v>
      </c>
      <c r="D144" s="665"/>
      <c r="E144" s="666"/>
      <c r="F144" s="672">
        <f>SUM(F140:F143)</f>
        <v>-280.08999999999997</v>
      </c>
    </row>
    <row r="145" spans="2:9" ht="16.2" thickBot="1" x14ac:dyDescent="0.35">
      <c r="B145" s="98">
        <v>44196</v>
      </c>
      <c r="C145" s="92" t="s">
        <v>2</v>
      </c>
      <c r="D145" s="92"/>
      <c r="E145" s="509"/>
      <c r="F145" s="99">
        <v>-0.5</v>
      </c>
    </row>
    <row r="146" spans="2:9" ht="15.6" x14ac:dyDescent="0.3">
      <c r="B146" s="387"/>
      <c r="C146" s="170" t="s">
        <v>590</v>
      </c>
      <c r="D146" s="170"/>
      <c r="E146" s="165"/>
      <c r="F146" s="210"/>
    </row>
    <row r="147" spans="2:9" ht="15.6" x14ac:dyDescent="0.3">
      <c r="B147" s="387">
        <v>44245</v>
      </c>
      <c r="C147" s="170" t="s">
        <v>597</v>
      </c>
      <c r="D147" s="170"/>
      <c r="E147" s="165"/>
      <c r="F147" s="210">
        <v>-14.59</v>
      </c>
      <c r="H147" t="s">
        <v>376</v>
      </c>
    </row>
    <row r="148" spans="2:9" ht="15.6" x14ac:dyDescent="0.3">
      <c r="B148" s="387">
        <v>44280</v>
      </c>
      <c r="C148" s="170" t="s">
        <v>597</v>
      </c>
      <c r="D148" s="170"/>
      <c r="E148" s="165"/>
      <c r="F148" s="210">
        <v>-18.95</v>
      </c>
      <c r="H148" t="s">
        <v>376</v>
      </c>
    </row>
    <row r="149" spans="2:9" ht="15.6" x14ac:dyDescent="0.3">
      <c r="B149" s="387">
        <v>44281</v>
      </c>
      <c r="C149" s="170" t="s">
        <v>601</v>
      </c>
      <c r="D149" s="170"/>
      <c r="E149" s="165"/>
      <c r="F149" s="210">
        <v>-77.8</v>
      </c>
      <c r="H149" t="s">
        <v>376</v>
      </c>
    </row>
    <row r="150" spans="2:9" ht="15.6" x14ac:dyDescent="0.3">
      <c r="B150" s="387">
        <v>44308</v>
      </c>
      <c r="C150" s="170" t="s">
        <v>601</v>
      </c>
      <c r="D150" s="170"/>
      <c r="E150" s="165"/>
      <c r="F150" s="210">
        <v>-82.63</v>
      </c>
      <c r="H150" t="s">
        <v>376</v>
      </c>
    </row>
    <row r="151" spans="2:9" ht="15.6" x14ac:dyDescent="0.3">
      <c r="B151" s="387">
        <v>44312</v>
      </c>
      <c r="C151" s="170" t="s">
        <v>607</v>
      </c>
      <c r="D151" s="170"/>
      <c r="E151" s="165"/>
      <c r="F151" s="210">
        <v>-10</v>
      </c>
      <c r="H151" t="s">
        <v>376</v>
      </c>
      <c r="I151" s="226" t="s">
        <v>608</v>
      </c>
    </row>
    <row r="152" spans="2:9" ht="15.6" x14ac:dyDescent="0.3">
      <c r="B152" s="387">
        <v>44312</v>
      </c>
      <c r="C152" s="170" t="s">
        <v>601</v>
      </c>
      <c r="D152" s="170"/>
      <c r="E152" s="165"/>
      <c r="F152" s="210">
        <v>-9.94</v>
      </c>
      <c r="H152" t="s">
        <v>376</v>
      </c>
    </row>
    <row r="153" spans="2:9" ht="15.6" x14ac:dyDescent="0.3">
      <c r="B153" s="387">
        <v>44320</v>
      </c>
      <c r="C153" s="170" t="s">
        <v>601</v>
      </c>
      <c r="D153" s="170"/>
      <c r="E153" s="165"/>
      <c r="F153" s="210">
        <v>-25</v>
      </c>
      <c r="H153" t="s">
        <v>376</v>
      </c>
    </row>
    <row r="154" spans="2:9" ht="15.6" x14ac:dyDescent="0.3">
      <c r="B154" s="387">
        <v>44471</v>
      </c>
      <c r="C154" s="170" t="s">
        <v>601</v>
      </c>
      <c r="D154" s="170"/>
      <c r="E154" s="165"/>
      <c r="F154" s="210">
        <v>-66.3</v>
      </c>
      <c r="H154" t="s">
        <v>376</v>
      </c>
    </row>
    <row r="155" spans="2:9" ht="15.6" x14ac:dyDescent="0.3">
      <c r="B155" s="387">
        <v>44502</v>
      </c>
      <c r="C155" s="170" t="s">
        <v>601</v>
      </c>
      <c r="D155" s="170"/>
      <c r="E155" s="165"/>
      <c r="F155" s="210">
        <v>-29.17</v>
      </c>
      <c r="H155" t="s">
        <v>376</v>
      </c>
    </row>
    <row r="156" spans="2:9" ht="15.6" x14ac:dyDescent="0.3">
      <c r="B156" s="387">
        <v>44503</v>
      </c>
      <c r="C156" s="170" t="s">
        <v>601</v>
      </c>
      <c r="D156" s="170"/>
      <c r="E156" s="165"/>
      <c r="F156" s="210">
        <v>-97.25</v>
      </c>
      <c r="H156" t="s">
        <v>376</v>
      </c>
    </row>
    <row r="157" spans="2:9" ht="15.6" x14ac:dyDescent="0.3">
      <c r="B157" s="387">
        <v>44509</v>
      </c>
      <c r="C157" s="170" t="s">
        <v>601</v>
      </c>
      <c r="D157" s="170"/>
      <c r="E157" s="165"/>
      <c r="F157" s="210">
        <v>-106.97</v>
      </c>
      <c r="H157" t="s">
        <v>376</v>
      </c>
    </row>
    <row r="158" spans="2:9" ht="15.6" x14ac:dyDescent="0.3">
      <c r="B158" s="387"/>
      <c r="C158" s="170"/>
      <c r="D158" s="170"/>
      <c r="E158" s="165"/>
      <c r="F158" s="210"/>
    </row>
    <row r="159" spans="2:9" ht="16.2" thickBot="1" x14ac:dyDescent="0.35">
      <c r="B159" s="592"/>
      <c r="C159" s="593" t="s">
        <v>589</v>
      </c>
      <c r="D159" s="740"/>
      <c r="E159" s="594"/>
      <c r="F159" s="595">
        <f>SUM(F147:F157)</f>
        <v>-538.6</v>
      </c>
    </row>
    <row r="160" spans="2:9" ht="15.6" x14ac:dyDescent="0.3">
      <c r="B160" s="589"/>
      <c r="C160" s="590" t="s">
        <v>591</v>
      </c>
      <c r="D160" s="590"/>
      <c r="E160" s="591"/>
      <c r="F160" s="750"/>
    </row>
    <row r="161" spans="2:8" ht="15.6" x14ac:dyDescent="0.3">
      <c r="B161" s="387">
        <v>44245</v>
      </c>
      <c r="C161" s="170" t="s">
        <v>347</v>
      </c>
      <c r="D161" s="170"/>
      <c r="E161" s="165"/>
      <c r="F161" s="210">
        <v>14.59</v>
      </c>
      <c r="H161" t="s">
        <v>376</v>
      </c>
    </row>
    <row r="162" spans="2:8" ht="15.6" x14ac:dyDescent="0.3">
      <c r="B162" s="387">
        <v>44280</v>
      </c>
      <c r="C162" s="170" t="s">
        <v>347</v>
      </c>
      <c r="D162" s="170"/>
      <c r="E162" s="165"/>
      <c r="F162" s="210">
        <v>19.45</v>
      </c>
      <c r="H162" t="s">
        <v>376</v>
      </c>
    </row>
    <row r="163" spans="2:8" ht="15.6" x14ac:dyDescent="0.3">
      <c r="B163" s="387">
        <v>44281</v>
      </c>
      <c r="C163" s="170" t="s">
        <v>347</v>
      </c>
      <c r="D163" s="170"/>
      <c r="E163" s="165"/>
      <c r="F163" s="210">
        <v>77.8</v>
      </c>
      <c r="H163" t="s">
        <v>376</v>
      </c>
    </row>
    <row r="164" spans="2:8" ht="15.6" x14ac:dyDescent="0.3">
      <c r="B164" s="387">
        <v>44277</v>
      </c>
      <c r="C164" s="170" t="s">
        <v>347</v>
      </c>
      <c r="D164" s="170"/>
      <c r="E164" s="165"/>
      <c r="F164" s="210">
        <v>82.63</v>
      </c>
      <c r="H164" t="s">
        <v>376</v>
      </c>
    </row>
    <row r="165" spans="2:8" ht="15.6" x14ac:dyDescent="0.3">
      <c r="B165" s="387">
        <v>44309</v>
      </c>
      <c r="C165" s="170" t="s">
        <v>347</v>
      </c>
      <c r="D165" s="170"/>
      <c r="E165" s="165"/>
      <c r="F165" s="210">
        <v>19.440000000000001</v>
      </c>
      <c r="H165" t="s">
        <v>376</v>
      </c>
    </row>
    <row r="166" spans="2:8" ht="15.6" x14ac:dyDescent="0.3">
      <c r="B166" s="387">
        <v>44314</v>
      </c>
      <c r="C166" s="170" t="s">
        <v>609</v>
      </c>
      <c r="D166" s="170"/>
      <c r="E166" s="165"/>
      <c r="F166" s="210">
        <v>20</v>
      </c>
      <c r="H166" t="s">
        <v>376</v>
      </c>
    </row>
    <row r="167" spans="2:8" ht="15.6" x14ac:dyDescent="0.3">
      <c r="B167" s="387">
        <v>44315</v>
      </c>
      <c r="C167" s="170" t="s">
        <v>610</v>
      </c>
      <c r="D167" s="170"/>
      <c r="E167" s="165"/>
      <c r="F167" s="210">
        <v>5</v>
      </c>
      <c r="H167" t="s">
        <v>376</v>
      </c>
    </row>
    <row r="168" spans="2:8" ht="15.6" x14ac:dyDescent="0.3">
      <c r="B168" s="387">
        <v>44320</v>
      </c>
      <c r="C168" s="170" t="s">
        <v>611</v>
      </c>
      <c r="D168" s="170"/>
      <c r="E168" s="165"/>
      <c r="F168" s="210">
        <v>10</v>
      </c>
      <c r="H168" t="s">
        <v>376</v>
      </c>
    </row>
    <row r="169" spans="2:8" ht="15.6" x14ac:dyDescent="0.3">
      <c r="B169" s="387">
        <v>44324</v>
      </c>
      <c r="C169" s="170" t="s">
        <v>612</v>
      </c>
      <c r="D169" s="170"/>
      <c r="E169" s="165"/>
      <c r="F169" s="210">
        <v>5</v>
      </c>
      <c r="H169" t="s">
        <v>376</v>
      </c>
    </row>
    <row r="170" spans="2:8" ht="15.6" x14ac:dyDescent="0.3">
      <c r="B170" s="387">
        <v>44471</v>
      </c>
      <c r="C170" s="170" t="s">
        <v>621</v>
      </c>
      <c r="D170" s="170"/>
      <c r="E170" s="165"/>
      <c r="F170" s="210">
        <v>76.28</v>
      </c>
      <c r="H170" t="s">
        <v>376</v>
      </c>
    </row>
    <row r="171" spans="2:8" ht="15.6" x14ac:dyDescent="0.3">
      <c r="B171" s="387">
        <v>44495</v>
      </c>
      <c r="C171" s="170" t="s">
        <v>621</v>
      </c>
      <c r="D171" s="170"/>
      <c r="E171" s="165"/>
      <c r="F171" s="210">
        <v>29.17</v>
      </c>
      <c r="H171" t="s">
        <v>376</v>
      </c>
    </row>
    <row r="172" spans="2:8" ht="15.6" x14ac:dyDescent="0.3">
      <c r="B172" s="387">
        <v>44497</v>
      </c>
      <c r="C172" s="170" t="s">
        <v>621</v>
      </c>
      <c r="D172" s="170"/>
      <c r="E172" s="165"/>
      <c r="F172" s="210">
        <v>97.25</v>
      </c>
      <c r="H172" t="s">
        <v>376</v>
      </c>
    </row>
    <row r="173" spans="2:8" ht="15.6" x14ac:dyDescent="0.3">
      <c r="B173" s="387">
        <v>44509</v>
      </c>
      <c r="C173" s="170" t="s">
        <v>621</v>
      </c>
      <c r="D173" s="170"/>
      <c r="E173" s="165"/>
      <c r="F173" s="210">
        <v>106.97</v>
      </c>
      <c r="H173" t="s">
        <v>376</v>
      </c>
    </row>
    <row r="174" spans="2:8" ht="15.6" x14ac:dyDescent="0.3">
      <c r="B174" s="387"/>
      <c r="C174" s="170"/>
      <c r="D174" s="170"/>
      <c r="E174" s="165"/>
      <c r="F174" s="210"/>
    </row>
    <row r="175" spans="2:8" ht="16.2" thickBot="1" x14ac:dyDescent="0.35">
      <c r="B175" s="671"/>
      <c r="C175" s="665" t="s">
        <v>592</v>
      </c>
      <c r="D175" s="665"/>
      <c r="E175" s="666"/>
      <c r="F175" s="595">
        <f>SUM(F161:F173)</f>
        <v>563.58000000000004</v>
      </c>
    </row>
    <row r="176" spans="2:8" ht="16.2" thickBot="1" x14ac:dyDescent="0.35">
      <c r="B176" s="98"/>
      <c r="C176" s="92" t="s">
        <v>2</v>
      </c>
      <c r="D176" s="92"/>
      <c r="E176" s="509"/>
      <c r="F176" s="99">
        <f>F145+F159+F175</f>
        <v>24.480000000000018</v>
      </c>
    </row>
    <row r="177" spans="2:6" ht="16.2" thickBot="1" x14ac:dyDescent="0.35">
      <c r="B177" s="417"/>
      <c r="C177" s="8"/>
      <c r="D177" s="8"/>
      <c r="E177" s="12"/>
      <c r="F177" s="202"/>
    </row>
    <row r="178" spans="2:6" ht="15.6" x14ac:dyDescent="0.3">
      <c r="B178" s="223" t="s">
        <v>566</v>
      </c>
      <c r="C178" s="182"/>
      <c r="D178" s="182"/>
      <c r="E178" s="397" t="s">
        <v>243</v>
      </c>
      <c r="F178" s="394"/>
    </row>
    <row r="179" spans="2:6" ht="15.6" x14ac:dyDescent="0.3">
      <c r="B179" s="515">
        <v>43830</v>
      </c>
      <c r="C179" s="64"/>
      <c r="D179" s="64"/>
      <c r="E179" s="201"/>
      <c r="F179" s="584">
        <v>704.3300000000072</v>
      </c>
    </row>
    <row r="180" spans="2:6" ht="15.6" x14ac:dyDescent="0.3">
      <c r="B180" s="105">
        <v>44109</v>
      </c>
      <c r="C180" s="227" t="s">
        <v>552</v>
      </c>
      <c r="D180" s="114"/>
      <c r="E180" s="227"/>
      <c r="F180" s="152">
        <v>704.33000000000902</v>
      </c>
    </row>
    <row r="181" spans="2:6" ht="14.4" customHeight="1" x14ac:dyDescent="0.3">
      <c r="B181" s="729"/>
      <c r="C181" s="730" t="s">
        <v>567</v>
      </c>
      <c r="D181" s="664"/>
      <c r="E181" s="730"/>
      <c r="F181" s="672"/>
    </row>
    <row r="182" spans="2:6" ht="15.6" hidden="1" x14ac:dyDescent="0.3">
      <c r="B182" s="359">
        <v>44112</v>
      </c>
      <c r="C182" s="211" t="s">
        <v>555</v>
      </c>
      <c r="D182" s="228"/>
      <c r="E182" s="211" t="s">
        <v>556</v>
      </c>
      <c r="F182" s="210">
        <f>0.02</f>
        <v>0.02</v>
      </c>
    </row>
    <row r="183" spans="2:6" ht="15.6" hidden="1" x14ac:dyDescent="0.3">
      <c r="B183" s="359">
        <v>44112</v>
      </c>
      <c r="C183" s="211" t="s">
        <v>560</v>
      </c>
      <c r="D183" s="228"/>
      <c r="E183" s="211" t="s">
        <v>557</v>
      </c>
      <c r="F183" s="210">
        <f>-F23</f>
        <v>235.51</v>
      </c>
    </row>
    <row r="184" spans="2:6" ht="15.6" hidden="1" x14ac:dyDescent="0.3">
      <c r="B184" s="359">
        <v>44112</v>
      </c>
      <c r="C184" s="211" t="s">
        <v>572</v>
      </c>
      <c r="D184" s="228"/>
      <c r="E184" s="211" t="s">
        <v>571</v>
      </c>
      <c r="F184" s="210">
        <v>31.44</v>
      </c>
    </row>
    <row r="185" spans="2:6" ht="15.6" hidden="1" x14ac:dyDescent="0.3">
      <c r="B185" s="359">
        <v>44112</v>
      </c>
      <c r="C185" s="211" t="s">
        <v>561</v>
      </c>
      <c r="D185" s="228"/>
      <c r="E185" s="211" t="s">
        <v>558</v>
      </c>
      <c r="F185" s="210">
        <v>48.66</v>
      </c>
    </row>
    <row r="186" spans="2:6" ht="15.6" hidden="1" x14ac:dyDescent="0.3">
      <c r="B186" s="359"/>
      <c r="C186" s="211" t="s">
        <v>594</v>
      </c>
      <c r="D186" s="228"/>
      <c r="E186" s="217" t="s">
        <v>520</v>
      </c>
      <c r="F186" s="210">
        <v>0.5</v>
      </c>
    </row>
    <row r="187" spans="2:6" ht="15.6" hidden="1" x14ac:dyDescent="0.3">
      <c r="B187" s="729"/>
      <c r="C187" s="730" t="s">
        <v>568</v>
      </c>
      <c r="D187" s="664"/>
      <c r="E187" s="731"/>
      <c r="F187" s="672">
        <f>SUM(F182:F186)</f>
        <v>316.13</v>
      </c>
    </row>
    <row r="188" spans="2:6" ht="12" customHeight="1" x14ac:dyDescent="0.3">
      <c r="B188" s="359"/>
      <c r="C188" s="211"/>
      <c r="D188" s="228"/>
      <c r="E188" s="217"/>
      <c r="F188" s="210"/>
    </row>
    <row r="189" spans="2:6" ht="15.6" x14ac:dyDescent="0.3">
      <c r="B189" s="105">
        <v>44196</v>
      </c>
      <c r="C189" s="227" t="s">
        <v>552</v>
      </c>
      <c r="D189" s="114"/>
      <c r="E189" s="227"/>
      <c r="F189" s="152">
        <f>F180+F187</f>
        <v>1020.460000000009</v>
      </c>
    </row>
    <row r="190" spans="2:6" ht="15.6" x14ac:dyDescent="0.3">
      <c r="B190" s="729"/>
      <c r="C190" s="730" t="s">
        <v>595</v>
      </c>
      <c r="D190" s="664"/>
      <c r="E190" s="731"/>
      <c r="F190" s="672"/>
    </row>
    <row r="191" spans="2:6" ht="15.6" x14ac:dyDescent="0.3">
      <c r="B191" s="359"/>
      <c r="C191" s="211"/>
      <c r="D191" s="228"/>
      <c r="E191" s="217"/>
      <c r="F191" s="210"/>
    </row>
    <row r="192" spans="2:6" ht="15.6" x14ac:dyDescent="0.3">
      <c r="B192" s="754"/>
      <c r="C192" s="755" t="s">
        <v>596</v>
      </c>
      <c r="D192" s="756"/>
      <c r="E192" s="757"/>
      <c r="F192" s="758"/>
    </row>
    <row r="193" spans="2:8" ht="15.6" x14ac:dyDescent="0.3">
      <c r="B193" s="359">
        <v>44280</v>
      </c>
      <c r="C193" s="211" t="s">
        <v>599</v>
      </c>
      <c r="D193" s="228"/>
      <c r="E193" s="217"/>
      <c r="F193" s="210">
        <v>-200</v>
      </c>
      <c r="H193" t="s">
        <v>509</v>
      </c>
    </row>
    <row r="194" spans="2:8" ht="15.6" x14ac:dyDescent="0.3">
      <c r="B194" s="754"/>
      <c r="C194" s="755"/>
      <c r="D194" s="756"/>
      <c r="E194" s="757"/>
      <c r="F194" s="758"/>
    </row>
    <row r="195" spans="2:8" ht="16.2" thickBot="1" x14ac:dyDescent="0.35">
      <c r="B195" s="732">
        <f>B2</f>
        <v>44561</v>
      </c>
      <c r="C195" s="733" t="s">
        <v>566</v>
      </c>
      <c r="D195" s="618"/>
      <c r="E195" s="734"/>
      <c r="F195" s="99">
        <f>F189+F190+F193</f>
        <v>820.46000000000902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58"/>
  <sheetViews>
    <sheetView workbookViewId="0">
      <selection activeCell="H1" sqref="H1"/>
    </sheetView>
  </sheetViews>
  <sheetFormatPr defaultRowHeight="13.2" x14ac:dyDescent="0.25"/>
  <cols>
    <col min="1" max="1" width="33.44140625" customWidth="1"/>
    <col min="2" max="2" width="6.33203125" customWidth="1"/>
    <col min="3" max="4" width="20" customWidth="1"/>
    <col min="5" max="5" width="6.5546875" customWidth="1"/>
    <col min="6" max="6" width="35" customWidth="1"/>
    <col min="7" max="7" width="7.88671875" customWidth="1"/>
    <col min="8" max="8" width="16" customWidth="1"/>
    <col min="9" max="9" width="17" customWidth="1"/>
    <col min="11" max="11" width="17" customWidth="1"/>
  </cols>
  <sheetData>
    <row r="1" spans="1:9" ht="18" thickBot="1" x14ac:dyDescent="0.35">
      <c r="A1" s="257" t="s">
        <v>168</v>
      </c>
      <c r="B1" s="258"/>
      <c r="C1" s="258"/>
      <c r="D1" s="258"/>
      <c r="E1" s="259"/>
      <c r="F1" s="260"/>
      <c r="G1" s="260"/>
      <c r="H1" s="260"/>
      <c r="I1" s="718"/>
    </row>
    <row r="2" spans="1:9" ht="21.6" thickBot="1" x14ac:dyDescent="0.45">
      <c r="A2" s="404" t="s">
        <v>578</v>
      </c>
      <c r="B2" s="262"/>
      <c r="C2" s="82" t="s">
        <v>579</v>
      </c>
      <c r="D2" s="82"/>
      <c r="E2" s="263"/>
      <c r="F2" s="264"/>
      <c r="G2" s="264"/>
      <c r="H2" s="264"/>
      <c r="I2" s="719"/>
    </row>
    <row r="3" spans="1:9" ht="15" x14ac:dyDescent="0.25">
      <c r="A3" s="269"/>
      <c r="B3" s="270"/>
      <c r="C3" s="270"/>
      <c r="D3" s="270"/>
      <c r="E3" s="271"/>
      <c r="F3" s="272"/>
      <c r="G3" s="272"/>
      <c r="H3" s="272"/>
      <c r="I3" s="453"/>
    </row>
    <row r="4" spans="1:9" ht="15.6" x14ac:dyDescent="0.3">
      <c r="A4" s="838" t="s">
        <v>580</v>
      </c>
      <c r="B4" s="839"/>
      <c r="C4" s="839"/>
      <c r="D4" s="839"/>
      <c r="E4" s="839"/>
      <c r="F4" s="839"/>
      <c r="G4" s="839"/>
      <c r="H4" s="839"/>
      <c r="I4" s="840"/>
    </row>
    <row r="5" spans="1:9" ht="15" x14ac:dyDescent="0.25">
      <c r="A5" s="279" t="s">
        <v>173</v>
      </c>
      <c r="B5" s="6"/>
      <c r="C5" s="6"/>
      <c r="D5" s="6"/>
      <c r="E5" s="4"/>
      <c r="F5" s="219" t="s">
        <v>174</v>
      </c>
      <c r="G5" s="219"/>
      <c r="H5" s="219"/>
      <c r="I5" s="454"/>
    </row>
    <row r="6" spans="1:9" ht="15" x14ac:dyDescent="0.25">
      <c r="A6" s="192"/>
      <c r="B6" s="7"/>
      <c r="C6" s="106">
        <v>44196</v>
      </c>
      <c r="D6" s="284">
        <v>43830</v>
      </c>
      <c r="E6" s="4"/>
      <c r="F6" s="285"/>
      <c r="G6" s="285"/>
      <c r="H6" s="220">
        <v>44196</v>
      </c>
      <c r="I6" s="220">
        <v>43830</v>
      </c>
    </row>
    <row r="7" spans="1:9" ht="15" x14ac:dyDescent="0.25">
      <c r="A7" s="192"/>
      <c r="B7" s="7"/>
      <c r="D7" s="7"/>
      <c r="E7" s="4"/>
      <c r="F7" s="285"/>
      <c r="G7" s="285"/>
      <c r="I7" s="285"/>
    </row>
    <row r="8" spans="1:9" ht="15" x14ac:dyDescent="0.25">
      <c r="A8" s="192" t="s">
        <v>522</v>
      </c>
      <c r="B8" s="7"/>
      <c r="C8" s="116">
        <f>'31 dec 2020'!C13</f>
        <v>0</v>
      </c>
      <c r="D8" s="193">
        <f>'31 dec 2019'!C16</f>
        <v>0.02</v>
      </c>
      <c r="E8" s="4"/>
      <c r="F8" s="343" t="s">
        <v>204</v>
      </c>
      <c r="G8" s="343"/>
      <c r="H8" s="456">
        <f>-SUM(H10:H18)+H23</f>
        <v>1020.4599999999991</v>
      </c>
      <c r="I8" s="456">
        <f>'project 2019'!F245</f>
        <v>704.33000000000902</v>
      </c>
    </row>
    <row r="9" spans="1:9" ht="15" x14ac:dyDescent="0.25">
      <c r="A9" s="192" t="s">
        <v>293</v>
      </c>
      <c r="B9" s="7"/>
      <c r="C9" s="116">
        <f>'31 dec 2020'!C14</f>
        <v>4544.91</v>
      </c>
      <c r="D9" s="193">
        <f>'31 dec 2019'!C17</f>
        <v>4415.41</v>
      </c>
      <c r="E9" s="4"/>
      <c r="F9" s="221"/>
      <c r="G9" s="221"/>
      <c r="I9" s="221"/>
    </row>
    <row r="10" spans="1:9" ht="15" x14ac:dyDescent="0.25">
      <c r="A10" s="365"/>
      <c r="C10" s="116"/>
      <c r="D10" s="193"/>
      <c r="E10" s="4"/>
      <c r="F10" s="221" t="str">
        <f>'31 dec 2019'!E16</f>
        <v>*Tuinwerkgroep</v>
      </c>
      <c r="G10" s="431">
        <f>'31 dec 2019'!F16</f>
        <v>1</v>
      </c>
      <c r="H10" s="713">
        <f>'project 2020'!F11</f>
        <v>0</v>
      </c>
      <c r="I10" s="116">
        <f>'project 2019'!F15</f>
        <v>0.02</v>
      </c>
    </row>
    <row r="11" spans="1:9" ht="15" x14ac:dyDescent="0.25">
      <c r="A11" s="23"/>
      <c r="C11" s="116"/>
      <c r="D11" s="193"/>
      <c r="E11" s="4"/>
      <c r="F11" s="221" t="str">
        <f>'31 dec 2019'!E19</f>
        <v>*Reservering diversen</v>
      </c>
      <c r="G11" s="431">
        <f>'31 dec 2019'!F19</f>
        <v>4</v>
      </c>
      <c r="H11" s="685">
        <f>'project 2020'!F36</f>
        <v>0.10000000000002274</v>
      </c>
      <c r="I11" s="116">
        <f>'project 2019'!F66</f>
        <v>354.98</v>
      </c>
    </row>
    <row r="12" spans="1:9" ht="15" x14ac:dyDescent="0.25">
      <c r="A12" s="192" t="s">
        <v>73</v>
      </c>
      <c r="B12" s="7"/>
      <c r="C12" s="116">
        <f>'31 dec 2020'!C19</f>
        <v>12999.529999999999</v>
      </c>
      <c r="D12" s="193">
        <f>'31 dec 2019'!C22</f>
        <v>23863.16</v>
      </c>
      <c r="E12" s="4"/>
      <c r="F12" s="221" t="str">
        <f>'31 dec 2019'!E21</f>
        <v>*Te besteden herinrichting ruimte</v>
      </c>
      <c r="G12" s="431">
        <f>'31 dec 2019'!F21</f>
        <v>6</v>
      </c>
      <c r="H12" s="686">
        <f>'project 2020'!F49</f>
        <v>0</v>
      </c>
      <c r="I12" s="116">
        <f>'project 2019'!F83</f>
        <v>31.44</v>
      </c>
    </row>
    <row r="13" spans="1:9" ht="15" x14ac:dyDescent="0.25">
      <c r="A13" s="365"/>
      <c r="B13" s="116"/>
      <c r="C13" s="193"/>
      <c r="E13" s="4"/>
      <c r="F13" s="221" t="str">
        <f>'31 dec 2019'!E22</f>
        <v>*Te besteden 50 dingen boekje</v>
      </c>
      <c r="G13" s="431">
        <f>'31 dec 2019'!F22</f>
        <v>7</v>
      </c>
      <c r="H13" s="707">
        <f>'project 2020'!F98</f>
        <v>12999.53</v>
      </c>
      <c r="I13" s="116">
        <f>'project 2019'!F131</f>
        <v>23863.16</v>
      </c>
    </row>
    <row r="14" spans="1:9" ht="15" x14ac:dyDescent="0.25">
      <c r="A14" s="23"/>
      <c r="E14" s="4"/>
      <c r="F14" s="221" t="str">
        <f>'31 dec 2019'!E23</f>
        <v>*Basisonderwijs/st. Ronde Venen fonds</v>
      </c>
      <c r="G14" s="431">
        <f>'31 dec 2019'!F23</f>
        <v>8</v>
      </c>
      <c r="H14" s="707">
        <f>'project 2020'!F120</f>
        <v>1250</v>
      </c>
      <c r="I14" s="116">
        <f>'project 2019'!F156</f>
        <v>1250</v>
      </c>
    </row>
    <row r="15" spans="1:9" ht="15" x14ac:dyDescent="0.25">
      <c r="A15" s="192"/>
      <c r="B15" s="7"/>
      <c r="C15" s="7"/>
      <c r="E15" s="4"/>
      <c r="F15" s="221" t="str">
        <f>'31 dec 2019'!E24</f>
        <v>*Stichting Doen/Oranjefonds</v>
      </c>
      <c r="G15" s="431">
        <f>'31 dec 2019'!F24</f>
        <v>9</v>
      </c>
      <c r="H15" s="707">
        <f>'project 2020'!F136</f>
        <v>0</v>
      </c>
      <c r="I15" s="116">
        <f>'project 2019'!F171</f>
        <v>48.66</v>
      </c>
    </row>
    <row r="16" spans="1:9" ht="15" x14ac:dyDescent="0.25">
      <c r="A16" s="192"/>
      <c r="B16" s="7"/>
      <c r="C16" s="7"/>
      <c r="E16" s="4"/>
      <c r="F16" s="221" t="str">
        <f>'31 dec 2019'!E26</f>
        <v>*25 jarig bestaan</v>
      </c>
      <c r="G16" s="431">
        <f>'31 dec 2019'!F26</f>
        <v>11</v>
      </c>
      <c r="H16" s="685">
        <f>'project 2020'!F152</f>
        <v>0</v>
      </c>
      <c r="I16" s="116">
        <f>'project 2019'!F205</f>
        <v>0</v>
      </c>
    </row>
    <row r="17" spans="1:11" ht="15" x14ac:dyDescent="0.25">
      <c r="A17" s="192"/>
      <c r="B17" s="7"/>
      <c r="C17" s="7"/>
      <c r="E17" s="4"/>
      <c r="F17" s="221" t="str">
        <f>'31 dec 2019'!E27</f>
        <v>*Ontwikkeling NME (1)</v>
      </c>
      <c r="G17" s="431">
        <f>'31 dec 2019'!F27</f>
        <v>12</v>
      </c>
      <c r="H17" s="116">
        <f>'project 2020'!F169</f>
        <v>2274.85</v>
      </c>
      <c r="I17" s="116">
        <f>'project 2019'!F223</f>
        <v>2026</v>
      </c>
    </row>
    <row r="18" spans="1:11" ht="15" x14ac:dyDescent="0.25">
      <c r="A18" s="192"/>
      <c r="B18" s="7"/>
      <c r="C18" s="7"/>
      <c r="E18" s="4"/>
      <c r="F18" s="221" t="str">
        <f>'31 dec 2019'!E28</f>
        <v>Izettle</v>
      </c>
      <c r="G18" s="431">
        <f>'31 dec 2019'!F28</f>
        <v>13</v>
      </c>
      <c r="H18" s="116">
        <f>'project 2020'!F196</f>
        <v>-0.5</v>
      </c>
      <c r="I18" s="193">
        <f>'project 2019'!F239</f>
        <v>0</v>
      </c>
    </row>
    <row r="19" spans="1:11" ht="15" x14ac:dyDescent="0.25">
      <c r="A19" s="192"/>
      <c r="B19" s="7"/>
      <c r="C19" s="7"/>
      <c r="E19" s="4"/>
      <c r="F19" s="221"/>
      <c r="G19" s="348"/>
      <c r="H19" s="116"/>
      <c r="I19" s="231"/>
    </row>
    <row r="20" spans="1:11" ht="15" x14ac:dyDescent="0.25">
      <c r="A20" s="192"/>
      <c r="B20" s="7"/>
      <c r="C20" s="7"/>
      <c r="E20" s="4"/>
      <c r="I20" s="51"/>
    </row>
    <row r="21" spans="1:11" ht="15" x14ac:dyDescent="0.25">
      <c r="A21" s="192"/>
      <c r="B21" s="7"/>
      <c r="C21" s="7"/>
      <c r="E21" s="4"/>
      <c r="I21" s="51"/>
      <c r="K21" s="116">
        <f>H23-H13</f>
        <v>4544.909999999998</v>
      </c>
    </row>
    <row r="22" spans="1:11" ht="15" x14ac:dyDescent="0.25">
      <c r="A22" s="192"/>
      <c r="B22" s="7"/>
      <c r="C22" s="7"/>
      <c r="E22" s="4"/>
      <c r="I22" s="51"/>
    </row>
    <row r="23" spans="1:11" ht="15" x14ac:dyDescent="0.25">
      <c r="A23" s="366" t="s">
        <v>205</v>
      </c>
      <c r="B23" s="299"/>
      <c r="C23" s="299">
        <f>SUM(C8:C14)</f>
        <v>17544.439999999999</v>
      </c>
      <c r="D23" s="299">
        <f>SUM(D8:D14)</f>
        <v>28278.59</v>
      </c>
      <c r="E23" s="300"/>
      <c r="F23" s="301"/>
      <c r="G23" s="301"/>
      <c r="H23" s="299">
        <f>C23</f>
        <v>17544.439999999999</v>
      </c>
      <c r="I23" s="303">
        <f>D23</f>
        <v>28278.59</v>
      </c>
    </row>
    <row r="24" spans="1:11" ht="15.6" thickBot="1" x14ac:dyDescent="0.3">
      <c r="A24" s="309"/>
      <c r="B24" s="310"/>
      <c r="C24" s="310"/>
      <c r="D24" s="310"/>
      <c r="E24" s="311"/>
      <c r="F24" s="432"/>
      <c r="G24" s="310"/>
      <c r="H24" s="310"/>
      <c r="I24" s="458"/>
    </row>
    <row r="25" spans="1:11" ht="15.6" thickBot="1" x14ac:dyDescent="0.3">
      <c r="A25" s="309"/>
      <c r="B25" s="310"/>
      <c r="C25" s="310"/>
      <c r="D25" s="310"/>
      <c r="E25" s="311"/>
      <c r="I25" s="194"/>
    </row>
    <row r="26" spans="1:11" ht="15.6" thickBot="1" x14ac:dyDescent="0.3">
      <c r="A26" s="487" t="s">
        <v>412</v>
      </c>
      <c r="B26" s="720"/>
      <c r="C26" s="720"/>
      <c r="D26" s="721">
        <f>C23-D23</f>
        <v>-10734.150000000001</v>
      </c>
      <c r="E26" s="722"/>
      <c r="F26" s="723"/>
      <c r="G26" s="723"/>
      <c r="H26" s="723"/>
      <c r="I26" s="724"/>
    </row>
    <row r="27" spans="1:11" ht="15.6" x14ac:dyDescent="0.3">
      <c r="A27" s="841"/>
      <c r="B27" s="842"/>
      <c r="C27" s="842"/>
      <c r="D27" s="842"/>
      <c r="E27" s="842"/>
      <c r="F27" s="842"/>
      <c r="G27" s="842"/>
      <c r="H27" s="842"/>
      <c r="I27" s="842"/>
    </row>
    <row r="28" spans="1:11" ht="13.8" x14ac:dyDescent="0.25">
      <c r="A28" s="321"/>
      <c r="B28" s="322"/>
      <c r="C28" s="322"/>
      <c r="D28" s="322"/>
      <c r="E28" s="324"/>
      <c r="F28" s="219"/>
      <c r="G28" s="219"/>
      <c r="H28" s="219"/>
      <c r="I28" s="219"/>
    </row>
    <row r="31" spans="1:11" ht="15.6" x14ac:dyDescent="0.3">
      <c r="A31" s="850" t="s">
        <v>516</v>
      </c>
      <c r="B31" s="851"/>
      <c r="C31" s="851"/>
      <c r="D31" s="851"/>
      <c r="E31" s="851"/>
      <c r="F31" s="851"/>
      <c r="G31" s="851"/>
      <c r="H31" s="851"/>
      <c r="I31" s="852"/>
    </row>
    <row r="32" spans="1:11" ht="13.8" x14ac:dyDescent="0.25">
      <c r="A32" s="630" t="s">
        <v>175</v>
      </c>
      <c r="B32" s="322"/>
      <c r="C32" s="322"/>
      <c r="D32" s="322"/>
      <c r="E32" s="324"/>
      <c r="F32" s="219" t="s">
        <v>176</v>
      </c>
      <c r="G32" s="219"/>
      <c r="H32" s="219"/>
      <c r="I32" s="631"/>
    </row>
    <row r="33" spans="1:11" x14ac:dyDescent="0.25">
      <c r="A33" s="632"/>
      <c r="C33">
        <v>2020</v>
      </c>
      <c r="D33">
        <v>2019</v>
      </c>
      <c r="E33" s="224"/>
      <c r="H33">
        <v>2020</v>
      </c>
      <c r="I33">
        <v>2019</v>
      </c>
    </row>
    <row r="34" spans="1:11" ht="13.8" x14ac:dyDescent="0.25">
      <c r="A34" s="634"/>
      <c r="B34" s="1"/>
      <c r="F34" s="7" t="s">
        <v>210</v>
      </c>
      <c r="G34" s="1" t="s">
        <v>110</v>
      </c>
      <c r="H34" s="116">
        <f>'31 dec 2020'!I14</f>
        <v>-0.02</v>
      </c>
      <c r="I34" s="116">
        <f>'31 dec 2019'!K16</f>
        <v>0</v>
      </c>
    </row>
    <row r="35" spans="1:11" x14ac:dyDescent="0.25">
      <c r="A35" s="636" t="s">
        <v>194</v>
      </c>
      <c r="B35" s="7" t="s">
        <v>110</v>
      </c>
      <c r="D35" s="116">
        <f>'31 dec 2019'!J16</f>
        <v>0.02</v>
      </c>
      <c r="E35" s="7"/>
      <c r="F35" s="106" t="s">
        <v>108</v>
      </c>
      <c r="G35" t="s">
        <v>109</v>
      </c>
      <c r="I35" s="116">
        <f>'31 dec 2019'!I17</f>
        <v>0</v>
      </c>
    </row>
    <row r="36" spans="1:11" x14ac:dyDescent="0.25">
      <c r="A36" s="636" t="s">
        <v>67</v>
      </c>
      <c r="B36" s="7" t="s">
        <v>112</v>
      </c>
      <c r="D36" s="116">
        <f>'31 dec 2019'!J19</f>
        <v>459.42</v>
      </c>
      <c r="E36" s="7"/>
      <c r="F36" s="7" t="s">
        <v>211</v>
      </c>
      <c r="G36" s="7" t="s">
        <v>112</v>
      </c>
      <c r="H36" s="116">
        <f>'31 dec 2020'!I15</f>
        <v>-354.88</v>
      </c>
      <c r="I36" s="116">
        <f>'31 dec 2019'!I19</f>
        <v>-119.38000000000001</v>
      </c>
      <c r="K36">
        <v>39.1</v>
      </c>
    </row>
    <row r="37" spans="1:11" x14ac:dyDescent="0.25">
      <c r="A37" s="636"/>
      <c r="B37" s="7"/>
      <c r="D37" s="116"/>
      <c r="E37" s="7"/>
      <c r="F37" s="7" t="str">
        <f>'project 2020'!B41</f>
        <v>Herinrichting Ruimte</v>
      </c>
      <c r="G37" s="7" t="s">
        <v>585</v>
      </c>
      <c r="H37" s="116">
        <f>'project 2020'!F45</f>
        <v>-31.44</v>
      </c>
      <c r="I37" s="116"/>
    </row>
    <row r="38" spans="1:11" x14ac:dyDescent="0.25">
      <c r="A38" s="637" t="s">
        <v>83</v>
      </c>
      <c r="B38" t="s">
        <v>115</v>
      </c>
      <c r="C38" s="422">
        <f>'project 2020'!F97</f>
        <v>39.1</v>
      </c>
      <c r="D38" s="116">
        <f>'31 dec 2019'!J22</f>
        <v>21510.65</v>
      </c>
      <c r="E38" s="7"/>
      <c r="F38" s="7" t="s">
        <v>83</v>
      </c>
      <c r="G38" t="s">
        <v>115</v>
      </c>
      <c r="H38" s="116">
        <f>'31 dec 2020'!I16</f>
        <v>-10902.73</v>
      </c>
      <c r="I38" s="116">
        <f>'31 dec 2019'!I22</f>
        <v>-2711.1600000000003</v>
      </c>
      <c r="K38">
        <v>0</v>
      </c>
    </row>
    <row r="39" spans="1:11" x14ac:dyDescent="0.25">
      <c r="A39" s="636" t="s">
        <v>88</v>
      </c>
      <c r="B39" t="s">
        <v>116</v>
      </c>
      <c r="C39" s="193">
        <f>'project 2020'!F119</f>
        <v>0</v>
      </c>
      <c r="D39" s="116">
        <f>'31 dec 2019'!J23</f>
        <v>2250</v>
      </c>
      <c r="E39" s="7"/>
      <c r="F39" s="284" t="s">
        <v>153</v>
      </c>
      <c r="G39" t="s">
        <v>116</v>
      </c>
      <c r="H39" s="116">
        <f>'31 dec 2020'!I17</f>
        <v>0</v>
      </c>
      <c r="I39" s="116">
        <f>'31 dec 2019'!I23</f>
        <v>-2500</v>
      </c>
      <c r="K39">
        <v>0</v>
      </c>
    </row>
    <row r="40" spans="1:11" x14ac:dyDescent="0.25">
      <c r="A40" s="636"/>
      <c r="C40" s="116"/>
      <c r="D40" s="116"/>
      <c r="E40" s="7"/>
      <c r="F40" s="284" t="s">
        <v>583</v>
      </c>
      <c r="G40" t="s">
        <v>582</v>
      </c>
      <c r="H40" s="116">
        <f>'31 dec 2020'!I18</f>
        <v>-48.66</v>
      </c>
      <c r="I40" s="116"/>
      <c r="K40">
        <v>248.85</v>
      </c>
    </row>
    <row r="41" spans="1:11" x14ac:dyDescent="0.25">
      <c r="A41" s="638" t="s">
        <v>89</v>
      </c>
      <c r="B41" t="s">
        <v>119</v>
      </c>
      <c r="C41" s="193"/>
      <c r="D41" s="116">
        <f>'31 dec 2019'!J26</f>
        <v>5000</v>
      </c>
      <c r="E41" s="7"/>
      <c r="F41" t="s">
        <v>122</v>
      </c>
      <c r="G41" t="s">
        <v>119</v>
      </c>
      <c r="I41" s="116">
        <f>'31 dec 2019'!I26</f>
        <v>-1369.42</v>
      </c>
      <c r="K41">
        <v>279.58999999999997</v>
      </c>
    </row>
    <row r="42" spans="1:11" x14ac:dyDescent="0.25">
      <c r="A42" s="638" t="s">
        <v>226</v>
      </c>
      <c r="B42" t="s">
        <v>141</v>
      </c>
      <c r="C42" s="193">
        <f>'project 2020'!F168</f>
        <v>248.85</v>
      </c>
      <c r="D42" s="116">
        <f>'31 dec 2019'!J27</f>
        <v>1100</v>
      </c>
      <c r="E42" s="221"/>
      <c r="F42" t="str">
        <f>'31 dec 2019'!E28</f>
        <v>Izettle</v>
      </c>
      <c r="G42" s="7" t="s">
        <v>520</v>
      </c>
      <c r="H42" s="116">
        <f>'31 dec 2020'!I20</f>
        <v>-280.08999999999997</v>
      </c>
      <c r="I42" s="116">
        <f>'31 dec 2019'!I28</f>
        <v>-279.06</v>
      </c>
      <c r="K42">
        <v>-280.08999999999997</v>
      </c>
    </row>
    <row r="43" spans="1:11" x14ac:dyDescent="0.25">
      <c r="A43" s="638" t="s">
        <v>518</v>
      </c>
      <c r="B43" t="s">
        <v>519</v>
      </c>
      <c r="C43" s="116">
        <f>'project 2020'!F190</f>
        <v>279.58999999999997</v>
      </c>
      <c r="D43" s="116">
        <f>'31 dec 2019'!J28</f>
        <v>279.06</v>
      </c>
      <c r="E43" s="221"/>
      <c r="I43" s="633"/>
    </row>
    <row r="44" spans="1:11" x14ac:dyDescent="0.25">
      <c r="A44" s="636"/>
      <c r="B44" s="7"/>
      <c r="D44" s="7"/>
      <c r="E44" s="221"/>
      <c r="I44" s="633"/>
    </row>
    <row r="45" spans="1:11" x14ac:dyDescent="0.25">
      <c r="A45" s="737" t="s">
        <v>586</v>
      </c>
      <c r="B45" s="738"/>
      <c r="C45" s="739">
        <f>'project 2020'!F211-'project 2020'!F200</f>
        <v>316.13</v>
      </c>
      <c r="D45" s="7"/>
      <c r="E45" s="221"/>
      <c r="H45" s="116"/>
      <c r="I45" s="635"/>
    </row>
    <row r="46" spans="1:11" x14ac:dyDescent="0.25">
      <c r="A46" s="640"/>
      <c r="B46" s="641"/>
      <c r="D46" s="641"/>
      <c r="E46" s="298"/>
      <c r="F46" s="295"/>
      <c r="G46" s="295"/>
      <c r="H46" s="295"/>
      <c r="I46" s="642"/>
      <c r="K46" s="295"/>
    </row>
    <row r="47" spans="1:11" ht="15.6" x14ac:dyDescent="0.3">
      <c r="A47" s="645" t="s">
        <v>219</v>
      </c>
      <c r="B47" s="646"/>
      <c r="C47" s="647">
        <f>SUM(C35:C46)</f>
        <v>883.67</v>
      </c>
      <c r="D47" s="647">
        <f>SUM(D35:D44)</f>
        <v>30599.15</v>
      </c>
      <c r="E47" s="648"/>
      <c r="F47" s="646" t="s">
        <v>218</v>
      </c>
      <c r="G47" s="646"/>
      <c r="H47" s="649">
        <f>SUM(H34:H45)</f>
        <v>-11617.82</v>
      </c>
      <c r="I47" s="650">
        <f>SUM(I34:I45)</f>
        <v>-6979.0200000000013</v>
      </c>
      <c r="K47" s="649"/>
    </row>
    <row r="48" spans="1:11" ht="15.6" x14ac:dyDescent="0.3">
      <c r="A48" s="632"/>
      <c r="E48" s="221"/>
      <c r="F48" s="346" t="s">
        <v>584</v>
      </c>
      <c r="G48" s="346"/>
      <c r="H48" s="347">
        <f>C47+H47</f>
        <v>-10734.15</v>
      </c>
      <c r="I48" s="639"/>
    </row>
    <row r="49" spans="1:13" ht="13.8" x14ac:dyDescent="0.25">
      <c r="A49" s="636"/>
      <c r="C49" s="116"/>
      <c r="E49" s="221"/>
      <c r="F49" s="1" t="s">
        <v>521</v>
      </c>
      <c r="G49" s="1"/>
      <c r="H49" s="629"/>
      <c r="I49" s="643">
        <f>D47+I47</f>
        <v>23620.13</v>
      </c>
      <c r="K49" s="116"/>
    </row>
    <row r="50" spans="1:13" x14ac:dyDescent="0.25">
      <c r="A50" s="640"/>
      <c r="B50" s="641"/>
      <c r="C50" s="641"/>
      <c r="D50" s="296"/>
      <c r="E50" s="298"/>
      <c r="F50" s="641"/>
      <c r="G50" s="641"/>
      <c r="H50" s="641"/>
      <c r="I50" s="644"/>
    </row>
    <row r="51" spans="1:13" ht="13.8" x14ac:dyDescent="0.25">
      <c r="A51" s="42"/>
      <c r="B51" s="1"/>
      <c r="C51" s="1"/>
      <c r="D51" s="1"/>
      <c r="E51" s="324"/>
      <c r="I51" s="51"/>
      <c r="K51" s="116">
        <f>D23</f>
        <v>28278.59</v>
      </c>
      <c r="M51">
        <v>1020.46</v>
      </c>
    </row>
    <row r="52" spans="1:13" ht="15" x14ac:dyDescent="0.25">
      <c r="A52" s="844" t="s">
        <v>200</v>
      </c>
      <c r="B52" s="845"/>
      <c r="C52" s="845"/>
      <c r="D52" s="845"/>
      <c r="E52" s="845"/>
      <c r="F52" s="845"/>
      <c r="G52" s="845"/>
      <c r="H52" s="845"/>
      <c r="I52" s="846"/>
      <c r="K52" s="434">
        <f>H47</f>
        <v>-11617.82</v>
      </c>
      <c r="M52">
        <v>704.33</v>
      </c>
    </row>
    <row r="53" spans="1:13" ht="13.8" x14ac:dyDescent="0.25">
      <c r="A53" s="337"/>
      <c r="B53" s="338"/>
      <c r="C53" s="338"/>
      <c r="D53" s="338"/>
      <c r="E53" s="324"/>
      <c r="I53" s="51"/>
      <c r="K53" s="116">
        <f>C47</f>
        <v>883.67</v>
      </c>
    </row>
    <row r="54" spans="1:13" x14ac:dyDescent="0.25">
      <c r="A54" s="847" t="s">
        <v>201</v>
      </c>
      <c r="B54" s="848"/>
      <c r="C54" s="848"/>
      <c r="D54" s="848"/>
      <c r="E54" s="848"/>
      <c r="F54" s="848"/>
      <c r="G54" s="848"/>
      <c r="H54" s="848"/>
      <c r="I54" s="849"/>
    </row>
    <row r="55" spans="1:13" ht="14.4" thickBot="1" x14ac:dyDescent="0.3">
      <c r="A55" s="339"/>
      <c r="B55" s="340"/>
      <c r="C55" s="340"/>
      <c r="D55" s="340"/>
      <c r="E55" s="342"/>
      <c r="F55" s="215"/>
      <c r="G55" s="215"/>
      <c r="H55" s="215"/>
      <c r="I55" s="216"/>
      <c r="K55" s="116">
        <f>SUM(K51:K54)</f>
        <v>17544.439999999999</v>
      </c>
    </row>
    <row r="56" spans="1:13" x14ac:dyDescent="0.25">
      <c r="K56" s="116">
        <f>C23</f>
        <v>17544.439999999999</v>
      </c>
    </row>
    <row r="57" spans="1:13" x14ac:dyDescent="0.25">
      <c r="K57" s="116">
        <f>K56-K55</f>
        <v>0</v>
      </c>
      <c r="M57">
        <f>M51-M52</f>
        <v>316.13</v>
      </c>
    </row>
    <row r="58" spans="1:13" x14ac:dyDescent="0.25">
      <c r="F58" s="116">
        <f>H58-H48</f>
        <v>0</v>
      </c>
      <c r="H58" s="116">
        <f>C23-D23</f>
        <v>-10734.150000000001</v>
      </c>
      <c r="M58" s="116">
        <f>K57-M57</f>
        <v>-316.13</v>
      </c>
    </row>
  </sheetData>
  <mergeCells count="5">
    <mergeCell ref="A4:I4"/>
    <mergeCell ref="A27:I27"/>
    <mergeCell ref="A31:I31"/>
    <mergeCell ref="A52:I52"/>
    <mergeCell ref="A54:I5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43"/>
  <sheetViews>
    <sheetView topLeftCell="A8" workbookViewId="0">
      <selection activeCell="C31" sqref="C31"/>
    </sheetView>
  </sheetViews>
  <sheetFormatPr defaultRowHeight="13.2" x14ac:dyDescent="0.25"/>
  <cols>
    <col min="1" max="1" width="13.6640625" customWidth="1"/>
    <col min="2" max="2" width="43.44140625" customWidth="1"/>
    <col min="3" max="3" width="14.6640625" customWidth="1"/>
    <col min="4" max="4" width="1.6640625" customWidth="1"/>
    <col min="5" max="5" width="35" customWidth="1"/>
    <col min="6" max="6" width="4.109375" customWidth="1"/>
    <col min="7" max="7" width="14.6640625" customWidth="1"/>
    <col min="8" max="8" width="15.44140625" customWidth="1"/>
    <col min="9" max="9" width="16.6640625" customWidth="1"/>
    <col min="10" max="10" width="14.5546875" customWidth="1"/>
    <col min="11" max="11" width="18.33203125" customWidth="1"/>
    <col min="12" max="12" width="26.88671875" customWidth="1"/>
    <col min="13" max="13" width="28" customWidth="1"/>
  </cols>
  <sheetData>
    <row r="1" spans="1:13" ht="30" x14ac:dyDescent="0.5">
      <c r="B1" s="222" t="s">
        <v>142</v>
      </c>
    </row>
    <row r="4" spans="1:13" ht="21" x14ac:dyDescent="0.4">
      <c r="B4" s="150" t="s">
        <v>158</v>
      </c>
      <c r="C4" s="250">
        <v>44196</v>
      </c>
    </row>
    <row r="5" spans="1:13" x14ac:dyDescent="0.25">
      <c r="E5" s="116"/>
    </row>
    <row r="6" spans="1:13" x14ac:dyDescent="0.25">
      <c r="B6">
        <v>4534.96</v>
      </c>
      <c r="K6" s="116"/>
    </row>
    <row r="7" spans="1:13" x14ac:dyDescent="0.25">
      <c r="A7" s="116"/>
      <c r="B7" s="116">
        <f>B6-C14</f>
        <v>-9.9499999999998181</v>
      </c>
      <c r="I7" s="116"/>
      <c r="K7" s="116" t="s">
        <v>267</v>
      </c>
      <c r="L7" s="116"/>
    </row>
    <row r="8" spans="1:13" ht="13.8" thickBot="1" x14ac:dyDescent="0.3">
      <c r="B8" s="328"/>
      <c r="C8" s="367"/>
    </row>
    <row r="9" spans="1:13" x14ac:dyDescent="0.25">
      <c r="A9" s="116"/>
      <c r="B9" s="189"/>
      <c r="C9" s="190"/>
      <c r="D9" s="32"/>
      <c r="E9" s="189"/>
      <c r="F9" s="32"/>
      <c r="G9" s="32" t="s">
        <v>159</v>
      </c>
      <c r="H9" s="190" t="s">
        <v>159</v>
      </c>
      <c r="I9" s="233" t="s">
        <v>161</v>
      </c>
      <c r="J9" s="233" t="s">
        <v>161</v>
      </c>
      <c r="K9" s="233">
        <v>-5175.3100000000004</v>
      </c>
      <c r="L9" s="32"/>
      <c r="M9" s="190"/>
    </row>
    <row r="10" spans="1:13" x14ac:dyDescent="0.25">
      <c r="A10" s="116">
        <f>A14-C14</f>
        <v>9.0949470177292824E-12</v>
      </c>
      <c r="B10" s="23"/>
      <c r="C10" s="51"/>
      <c r="E10" s="23"/>
      <c r="G10" s="247">
        <f>C4</f>
        <v>44196</v>
      </c>
      <c r="H10" s="240">
        <f>C4</f>
        <v>44196</v>
      </c>
      <c r="I10" s="689">
        <f>C4</f>
        <v>44196</v>
      </c>
      <c r="J10" s="689">
        <f>C4</f>
        <v>44196</v>
      </c>
      <c r="K10" s="234">
        <v>43830</v>
      </c>
      <c r="M10" s="191"/>
    </row>
    <row r="11" spans="1:13" ht="13.8" thickBot="1" x14ac:dyDescent="0.3">
      <c r="B11" s="197" t="s">
        <v>162</v>
      </c>
      <c r="C11" s="51"/>
      <c r="E11" s="197" t="s">
        <v>99</v>
      </c>
      <c r="F11" s="7"/>
      <c r="G11" s="7" t="s">
        <v>102</v>
      </c>
      <c r="H11" s="683" t="s">
        <v>160</v>
      </c>
      <c r="I11" s="690" t="s">
        <v>101</v>
      </c>
      <c r="J11" s="695" t="s">
        <v>100</v>
      </c>
      <c r="K11" s="680" t="s">
        <v>84</v>
      </c>
      <c r="L11" s="7"/>
      <c r="M11" s="51"/>
    </row>
    <row r="12" spans="1:13" x14ac:dyDescent="0.25">
      <c r="A12" s="528" t="s">
        <v>383</v>
      </c>
      <c r="B12" s="249">
        <f>C4</f>
        <v>44196</v>
      </c>
      <c r="C12" s="51"/>
      <c r="E12" s="246">
        <f>C4</f>
        <v>44196</v>
      </c>
      <c r="H12" s="684"/>
      <c r="I12" s="691"/>
      <c r="J12" s="696"/>
      <c r="K12" s="681"/>
      <c r="L12" s="7"/>
      <c r="M12" s="51"/>
    </row>
    <row r="13" spans="1:13" x14ac:dyDescent="0.25">
      <c r="A13" s="525">
        <f>'project 2020'!F11</f>
        <v>0</v>
      </c>
      <c r="B13" s="23" t="s">
        <v>264</v>
      </c>
      <c r="C13" s="623">
        <v>0</v>
      </c>
      <c r="E13" s="606"/>
      <c r="F13" s="348"/>
      <c r="G13" s="116"/>
      <c r="H13" s="685">
        <f t="shared" ref="H13:H19" si="0">J13+K13+I13</f>
        <v>0</v>
      </c>
      <c r="I13" s="692">
        <f>'project 2019'!F7</f>
        <v>0</v>
      </c>
      <c r="J13" s="697">
        <f>'project 2019'!F11</f>
        <v>0</v>
      </c>
      <c r="K13" s="237">
        <f>'project 2019'!F4</f>
        <v>0</v>
      </c>
      <c r="L13" s="193"/>
      <c r="M13" s="194"/>
    </row>
    <row r="14" spans="1:13" x14ac:dyDescent="0.25">
      <c r="A14" s="526">
        <f>'project 2020'!F36+'project 2020'!F120+'project 2020'!F169+'project 2020'!F211+'project 2020'!F196</f>
        <v>4544.9100000000089</v>
      </c>
      <c r="B14" s="23" t="s">
        <v>266</v>
      </c>
      <c r="C14" s="623">
        <f>4534.96+9.95</f>
        <v>4544.91</v>
      </c>
      <c r="E14" s="711" t="str">
        <f>'jaarekening 2019  begr 2020'!F10</f>
        <v>*Tuinwerkgroep</v>
      </c>
      <c r="F14" s="712">
        <f>'jaarekening 2016 begr 2017'!R7</f>
        <v>1</v>
      </c>
      <c r="G14" s="735" t="s">
        <v>570</v>
      </c>
      <c r="H14" s="713">
        <f t="shared" si="0"/>
        <v>0</v>
      </c>
      <c r="I14" s="714">
        <f>'project 2020'!F9</f>
        <v>-0.02</v>
      </c>
      <c r="J14" s="715"/>
      <c r="K14" s="716">
        <f>'project 2020'!F7</f>
        <v>0.02</v>
      </c>
      <c r="L14" s="193"/>
      <c r="M14" s="51"/>
    </row>
    <row r="15" spans="1:13" ht="15.6" x14ac:dyDescent="0.3">
      <c r="A15" s="526"/>
      <c r="B15" s="617"/>
      <c r="C15" s="51"/>
      <c r="E15" s="521" t="str">
        <f>'jaarekening 2019  begr 2020'!F11</f>
        <v>*Reservering diversen</v>
      </c>
      <c r="F15" s="348">
        <f>'jaarekening 2016 begr 2017'!R10</f>
        <v>4</v>
      </c>
      <c r="G15" s="116"/>
      <c r="H15" s="685">
        <f t="shared" si="0"/>
        <v>0.10000000000002274</v>
      </c>
      <c r="I15" s="692">
        <f>'project 2020'!F33</f>
        <v>-354.88</v>
      </c>
      <c r="J15" s="697">
        <f>'project 2020'!F35</f>
        <v>0</v>
      </c>
      <c r="K15" s="237">
        <f>'project 2020'!F18</f>
        <v>354.98</v>
      </c>
      <c r="L15" s="193"/>
      <c r="M15" s="51"/>
    </row>
    <row r="16" spans="1:13" ht="15.6" x14ac:dyDescent="0.3">
      <c r="A16" s="525"/>
      <c r="B16" s="617"/>
      <c r="C16" s="194"/>
      <c r="E16" s="708" t="str">
        <f>'jaarekening 2019  begr 2020'!F13</f>
        <v>*Te besteden 50 dingen boekje</v>
      </c>
      <c r="F16" s="717">
        <f>'jaarekening 2016 begr 2017'!R13</f>
        <v>7</v>
      </c>
      <c r="G16" s="422"/>
      <c r="H16" s="686">
        <f t="shared" si="0"/>
        <v>12999.529999999999</v>
      </c>
      <c r="I16" s="709">
        <f>'project 2020'!F91</f>
        <v>-10902.73</v>
      </c>
      <c r="J16" s="710">
        <f>'project 2020'!F97</f>
        <v>39.1</v>
      </c>
      <c r="K16" s="700">
        <f>'project 2020'!F79</f>
        <v>23863.16</v>
      </c>
      <c r="L16" s="193"/>
    </row>
    <row r="17" spans="1:13" x14ac:dyDescent="0.25">
      <c r="A17" s="525"/>
      <c r="B17" s="365"/>
      <c r="C17" s="51"/>
      <c r="E17" s="521" t="str">
        <f>'jaarekening 2019  begr 2020'!F14</f>
        <v>*Basisonderwijs/st. Ronde Venen fonds</v>
      </c>
      <c r="F17" s="348">
        <f>'jaarekening 2016 begr 2017'!R14</f>
        <v>8</v>
      </c>
      <c r="G17" s="116"/>
      <c r="H17" s="707">
        <f t="shared" si="0"/>
        <v>1250</v>
      </c>
      <c r="I17" s="692">
        <f>'project 2020'!F115</f>
        <v>0</v>
      </c>
      <c r="J17" s="698">
        <f>'project 2020'!F119</f>
        <v>0</v>
      </c>
      <c r="K17" s="237">
        <f>'project 2020'!F111</f>
        <v>1250</v>
      </c>
      <c r="L17" s="193"/>
      <c r="M17" s="51"/>
    </row>
    <row r="18" spans="1:13" x14ac:dyDescent="0.25">
      <c r="A18" s="525"/>
      <c r="B18" s="406"/>
      <c r="C18" s="194"/>
      <c r="E18" s="521" t="str">
        <f>'jaarekening 2019  begr 2020'!F15</f>
        <v>*Stichting Doen/Oranjefonds</v>
      </c>
      <c r="F18" s="348">
        <v>9</v>
      </c>
      <c r="G18" s="735" t="s">
        <v>570</v>
      </c>
      <c r="H18" s="707">
        <f t="shared" si="0"/>
        <v>0</v>
      </c>
      <c r="I18" s="692">
        <f>'project 2020'!F134</f>
        <v>-48.66</v>
      </c>
      <c r="J18" s="697">
        <f>'project 2020'!F135</f>
        <v>0</v>
      </c>
      <c r="K18" s="237">
        <f>'project 2020'!F131</f>
        <v>48.66</v>
      </c>
      <c r="L18" s="193"/>
      <c r="M18" s="194"/>
    </row>
    <row r="19" spans="1:13" ht="13.8" thickBot="1" x14ac:dyDescent="0.3">
      <c r="A19" s="527">
        <f>'project 2020'!F98</f>
        <v>12999.53</v>
      </c>
      <c r="B19" s="610" t="s">
        <v>265</v>
      </c>
      <c r="C19" s="623">
        <f>13001.05-1.52</f>
        <v>12999.529999999999</v>
      </c>
      <c r="E19" s="521" t="str">
        <f>'jaarekening 2019  begr 2020'!F17</f>
        <v>*Ontwikkeling NME (1)</v>
      </c>
      <c r="F19" s="348">
        <v>12</v>
      </c>
      <c r="G19" s="116"/>
      <c r="H19" s="707">
        <f t="shared" si="0"/>
        <v>2274.85</v>
      </c>
      <c r="I19" s="692">
        <f>'project 2020'!F165</f>
        <v>0</v>
      </c>
      <c r="J19" s="698">
        <f>'project 2020'!F168</f>
        <v>248.85</v>
      </c>
      <c r="K19" s="237">
        <f>'project 2020'!F162</f>
        <v>2026</v>
      </c>
      <c r="L19" s="193"/>
      <c r="M19" s="51"/>
    </row>
    <row r="20" spans="1:13" ht="16.2" thickBot="1" x14ac:dyDescent="0.35">
      <c r="A20" s="527">
        <f>SUM(A13:A19)</f>
        <v>17544.44000000001</v>
      </c>
      <c r="B20" s="617">
        <f>A19-C19</f>
        <v>0</v>
      </c>
      <c r="C20" s="194"/>
      <c r="E20" s="521" t="str">
        <f>'jaarekening 2019  begr 2020'!F18</f>
        <v>Izettle</v>
      </c>
      <c r="F20">
        <v>13</v>
      </c>
      <c r="G20" s="116"/>
      <c r="H20" s="707">
        <f>I20+J20</f>
        <v>-0.5</v>
      </c>
      <c r="I20" s="692">
        <f>'project 2020'!F195</f>
        <v>-280.08999999999997</v>
      </c>
      <c r="J20" s="698">
        <f>'project 2020'!F190</f>
        <v>279.58999999999997</v>
      </c>
      <c r="K20" s="700">
        <f>'project 2020'!F184</f>
        <v>0</v>
      </c>
      <c r="L20" s="193"/>
      <c r="M20" s="51"/>
    </row>
    <row r="21" spans="1:13" ht="15.6" x14ac:dyDescent="0.3">
      <c r="A21" s="422"/>
      <c r="B21" s="607"/>
      <c r="C21" s="194"/>
      <c r="E21" s="521"/>
      <c r="F21" s="348"/>
      <c r="G21" s="116"/>
      <c r="H21" s="685"/>
      <c r="I21" s="693"/>
      <c r="J21" s="697"/>
      <c r="K21" s="237"/>
      <c r="L21" s="193"/>
      <c r="M21" s="51"/>
    </row>
    <row r="22" spans="1:13" x14ac:dyDescent="0.25">
      <c r="A22" s="328"/>
      <c r="B22" s="365"/>
      <c r="C22" s="194"/>
      <c r="E22" s="23"/>
      <c r="H22" s="684"/>
      <c r="I22" s="691"/>
      <c r="J22" s="696"/>
      <c r="K22" s="681"/>
      <c r="L22" s="193"/>
      <c r="M22" s="51"/>
    </row>
    <row r="23" spans="1:13" x14ac:dyDescent="0.25">
      <c r="A23" s="422"/>
      <c r="B23" s="365"/>
      <c r="C23" s="194"/>
      <c r="E23" s="23"/>
      <c r="H23" s="684"/>
      <c r="I23" s="691"/>
      <c r="J23" s="696"/>
      <c r="K23" s="681"/>
      <c r="L23" s="193"/>
      <c r="M23" s="51"/>
    </row>
    <row r="24" spans="1:13" x14ac:dyDescent="0.25">
      <c r="A24" s="328"/>
      <c r="B24" s="365"/>
      <c r="C24" s="194"/>
      <c r="E24" s="23"/>
      <c r="H24" s="684"/>
      <c r="I24" s="691"/>
      <c r="J24" s="696"/>
      <c r="K24" s="681"/>
      <c r="L24" s="193"/>
      <c r="M24" s="51"/>
    </row>
    <row r="25" spans="1:13" x14ac:dyDescent="0.25">
      <c r="A25" s="422"/>
      <c r="B25" s="23"/>
      <c r="C25" s="194"/>
      <c r="E25" s="23"/>
      <c r="H25" s="684"/>
      <c r="I25" s="691"/>
      <c r="J25" s="696"/>
      <c r="K25" s="681"/>
      <c r="L25" s="116"/>
      <c r="M25" s="194"/>
    </row>
    <row r="26" spans="1:13" ht="13.8" thickBot="1" x14ac:dyDescent="0.3">
      <c r="A26" s="422">
        <f>A20-C27</f>
        <v>0</v>
      </c>
      <c r="B26" s="520"/>
      <c r="C26" s="196"/>
      <c r="E26" s="523" t="s">
        <v>552</v>
      </c>
      <c r="F26" s="86" t="s">
        <v>243</v>
      </c>
      <c r="G26" s="524">
        <f>'project 2020'!F211</f>
        <v>1020.460000000009</v>
      </c>
      <c r="H26" s="687"/>
      <c r="I26" s="692">
        <f>'project 2020'!F207</f>
        <v>315.63</v>
      </c>
      <c r="J26" s="697"/>
      <c r="K26" s="701">
        <f>'project 2020'!F199</f>
        <v>704.3300000000072</v>
      </c>
      <c r="L26" s="193" t="s">
        <v>538</v>
      </c>
      <c r="M26" s="51"/>
    </row>
    <row r="27" spans="1:13" ht="16.2" thickBot="1" x14ac:dyDescent="0.35">
      <c r="B27" s="185" t="s">
        <v>319</v>
      </c>
      <c r="C27" s="408">
        <f>SUM(C12:C26)</f>
        <v>17544.439999999999</v>
      </c>
      <c r="D27" s="187"/>
      <c r="E27" s="185" t="s">
        <v>79</v>
      </c>
      <c r="F27" s="187"/>
      <c r="G27" s="186">
        <f>G26</f>
        <v>1020.460000000009</v>
      </c>
      <c r="H27" s="688">
        <f>SUM(H12:H26)</f>
        <v>16523.98</v>
      </c>
      <c r="I27" s="694">
        <f>SUM(I13:I26)</f>
        <v>-11270.75</v>
      </c>
      <c r="J27" s="699">
        <f>SUM(J13:J26)</f>
        <v>567.54</v>
      </c>
      <c r="K27" s="682">
        <f>SUM(K12:K26)</f>
        <v>28247.150000000009</v>
      </c>
      <c r="L27" s="195"/>
      <c r="M27" s="196"/>
    </row>
    <row r="28" spans="1:13" ht="13.8" thickBot="1" x14ac:dyDescent="0.3">
      <c r="A28" s="116"/>
      <c r="B28" s="487"/>
      <c r="C28" s="488"/>
      <c r="E28" s="116"/>
      <c r="G28" s="193"/>
      <c r="H28" s="116"/>
      <c r="I28" s="517"/>
      <c r="J28" s="517"/>
      <c r="K28" s="116"/>
      <c r="L28" s="116"/>
      <c r="M28" s="116"/>
    </row>
    <row r="29" spans="1:13" ht="17.399999999999999" x14ac:dyDescent="0.3">
      <c r="B29" s="426" t="s">
        <v>285</v>
      </c>
      <c r="C29" s="427">
        <f>H27</f>
        <v>16523.98</v>
      </c>
      <c r="E29" s="116"/>
      <c r="F29" s="7"/>
      <c r="G29" s="202"/>
      <c r="H29" s="202"/>
      <c r="I29" s="422">
        <f>I27-I26</f>
        <v>-11586.38</v>
      </c>
      <c r="J29" s="116"/>
      <c r="K29" s="616"/>
      <c r="L29" s="423"/>
    </row>
    <row r="30" spans="1:13" x14ac:dyDescent="0.25">
      <c r="A30" s="116">
        <f>A14-C14</f>
        <v>9.0949470177292824E-12</v>
      </c>
      <c r="B30" s="428"/>
      <c r="C30" s="407"/>
      <c r="E30" s="116"/>
      <c r="G30" s="193"/>
      <c r="H30" s="193"/>
      <c r="I30" s="116"/>
      <c r="J30" s="116"/>
      <c r="K30" s="424"/>
      <c r="L30" s="116"/>
      <c r="M30" t="s">
        <v>443</v>
      </c>
    </row>
    <row r="31" spans="1:13" x14ac:dyDescent="0.25">
      <c r="A31" s="116"/>
      <c r="B31" s="429" t="s">
        <v>552</v>
      </c>
      <c r="C31" s="407">
        <f>G26</f>
        <v>1020.460000000009</v>
      </c>
      <c r="E31" s="116"/>
      <c r="G31" s="116"/>
      <c r="H31" s="193"/>
      <c r="J31" s="116"/>
      <c r="L31" s="116"/>
      <c r="M31" t="s">
        <v>444</v>
      </c>
    </row>
    <row r="32" spans="1:13" ht="13.8" thickBot="1" x14ac:dyDescent="0.3">
      <c r="B32" s="167"/>
      <c r="C32" s="407"/>
      <c r="E32" s="116"/>
      <c r="G32" s="116"/>
      <c r="H32" s="193"/>
      <c r="I32" s="116"/>
      <c r="J32" s="116"/>
      <c r="K32" s="116"/>
      <c r="M32" t="s">
        <v>446</v>
      </c>
    </row>
    <row r="33" spans="1:13" ht="13.8" thickBot="1" x14ac:dyDescent="0.3">
      <c r="A33" s="116"/>
      <c r="B33" s="462" t="s">
        <v>98</v>
      </c>
      <c r="C33" s="463">
        <f>C29+C31</f>
        <v>17544.44000000001</v>
      </c>
      <c r="E33" s="116"/>
      <c r="G33" s="116"/>
      <c r="H33" s="116"/>
      <c r="I33" s="116"/>
      <c r="J33" s="116"/>
      <c r="K33" s="422"/>
    </row>
    <row r="34" spans="1:13" x14ac:dyDescent="0.25">
      <c r="E34" s="116"/>
      <c r="H34" s="116"/>
      <c r="I34" s="116"/>
      <c r="J34" s="116"/>
      <c r="M34" t="s">
        <v>442</v>
      </c>
    </row>
    <row r="35" spans="1:13" x14ac:dyDescent="0.25">
      <c r="C35" s="116"/>
      <c r="E35" s="116"/>
      <c r="I35" s="116"/>
      <c r="J35" s="116"/>
    </row>
    <row r="36" spans="1:13" ht="17.399999999999999" x14ac:dyDescent="0.3">
      <c r="E36" s="116"/>
      <c r="G36" s="116"/>
      <c r="H36" s="116"/>
      <c r="I36" s="116"/>
      <c r="J36" s="116"/>
      <c r="K36" s="423"/>
    </row>
    <row r="37" spans="1:13" x14ac:dyDescent="0.25">
      <c r="E37" s="116"/>
      <c r="I37" s="116"/>
      <c r="J37" s="116"/>
    </row>
    <row r="38" spans="1:13" x14ac:dyDescent="0.25">
      <c r="E38" s="116"/>
      <c r="I38" s="116"/>
      <c r="K38" s="116"/>
    </row>
    <row r="39" spans="1:13" x14ac:dyDescent="0.25">
      <c r="E39" s="116"/>
      <c r="I39" s="116"/>
    </row>
    <row r="40" spans="1:13" x14ac:dyDescent="0.25">
      <c r="H40" s="116"/>
      <c r="I40" s="116"/>
    </row>
    <row r="42" spans="1:13" x14ac:dyDescent="0.25">
      <c r="I42" s="116"/>
    </row>
    <row r="43" spans="1:13" x14ac:dyDescent="0.25">
      <c r="I43" s="116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211"/>
  <sheetViews>
    <sheetView topLeftCell="A29" workbookViewId="0">
      <selection activeCell="E50" sqref="E50"/>
    </sheetView>
  </sheetViews>
  <sheetFormatPr defaultRowHeight="13.2" x14ac:dyDescent="0.25"/>
  <cols>
    <col min="2" max="2" width="14.88671875" customWidth="1"/>
    <col min="3" max="3" width="11.88671875" customWidth="1"/>
    <col min="4" max="4" width="13.44140625" customWidth="1"/>
    <col min="5" max="6" width="17.6640625" customWidth="1"/>
    <col min="7" max="7" width="3.88671875" customWidth="1"/>
    <col min="8" max="8" width="17.109375" customWidth="1"/>
    <col min="9" max="9" width="18.5546875" customWidth="1"/>
    <col min="10" max="10" width="22.44140625" customWidth="1"/>
    <col min="11" max="11" width="16" customWidth="1"/>
  </cols>
  <sheetData>
    <row r="1" spans="2:11" ht="21" x14ac:dyDescent="0.4">
      <c r="B1" s="150" t="s">
        <v>527</v>
      </c>
      <c r="H1" t="s">
        <v>360</v>
      </c>
    </row>
    <row r="2" spans="2:11" ht="17.399999999999999" x14ac:dyDescent="0.3">
      <c r="B2" s="250">
        <f>'31 dec 2020'!C4</f>
        <v>44196</v>
      </c>
    </row>
    <row r="4" spans="2:11" ht="13.8" thickBot="1" x14ac:dyDescent="0.3"/>
    <row r="5" spans="2:11" ht="13.8" thickBot="1" x14ac:dyDescent="0.3">
      <c r="B5" s="368" t="s">
        <v>130</v>
      </c>
      <c r="C5" s="369"/>
      <c r="D5" s="370"/>
    </row>
    <row r="6" spans="2:11" ht="15.6" x14ac:dyDescent="0.3">
      <c r="B6" s="223" t="s">
        <v>1</v>
      </c>
      <c r="C6" s="376"/>
      <c r="D6" s="376"/>
      <c r="E6" s="199" t="s">
        <v>110</v>
      </c>
      <c r="F6" s="153" t="s">
        <v>129</v>
      </c>
    </row>
    <row r="7" spans="2:11" ht="16.2" thickBot="1" x14ac:dyDescent="0.35">
      <c r="B7" s="604">
        <v>43830</v>
      </c>
      <c r="C7" s="605" t="s">
        <v>2</v>
      </c>
      <c r="D7" s="605"/>
      <c r="E7" s="93"/>
      <c r="F7" s="94">
        <v>0.02</v>
      </c>
      <c r="G7" s="501"/>
      <c r="H7" s="226" t="s">
        <v>393</v>
      </c>
      <c r="I7" s="168"/>
      <c r="J7" s="168"/>
      <c r="K7" s="168"/>
    </row>
    <row r="8" spans="2:11" ht="15.6" x14ac:dyDescent="0.3">
      <c r="B8" s="377"/>
      <c r="C8" s="415" t="s">
        <v>528</v>
      </c>
      <c r="D8" s="415"/>
      <c r="E8" s="415"/>
      <c r="F8" s="172"/>
      <c r="G8" s="501"/>
      <c r="H8" s="226"/>
      <c r="I8" s="168"/>
      <c r="J8" s="168"/>
      <c r="K8" s="168"/>
    </row>
    <row r="9" spans="2:11" ht="15.6" x14ac:dyDescent="0.3">
      <c r="B9" s="377">
        <v>44112</v>
      </c>
      <c r="C9" s="415" t="s">
        <v>553</v>
      </c>
      <c r="D9" s="415"/>
      <c r="E9" s="415"/>
      <c r="F9" s="172">
        <v>-0.02</v>
      </c>
      <c r="G9" s="107" t="s">
        <v>457</v>
      </c>
      <c r="H9" s="226"/>
      <c r="I9" s="168"/>
      <c r="J9" s="168"/>
      <c r="K9" s="168"/>
    </row>
    <row r="10" spans="2:11" ht="15.6" x14ac:dyDescent="0.3">
      <c r="B10" s="377"/>
      <c r="C10" s="415" t="s">
        <v>529</v>
      </c>
      <c r="D10" s="415"/>
      <c r="E10" s="415"/>
      <c r="F10" s="172">
        <v>0</v>
      </c>
      <c r="G10" s="501"/>
      <c r="H10" s="226"/>
      <c r="I10" s="168"/>
      <c r="J10" s="168"/>
      <c r="K10" s="168"/>
    </row>
    <row r="11" spans="2:11" ht="16.2" thickBot="1" x14ac:dyDescent="0.35">
      <c r="B11" s="604">
        <f>B2</f>
        <v>44196</v>
      </c>
      <c r="C11" s="605" t="s">
        <v>2</v>
      </c>
      <c r="D11" s="605"/>
      <c r="E11" s="93"/>
      <c r="F11" s="104">
        <f>F7+F9</f>
        <v>0</v>
      </c>
    </row>
    <row r="12" spans="2:11" ht="16.2" thickBot="1" x14ac:dyDescent="0.35">
      <c r="B12" s="223" t="s">
        <v>1</v>
      </c>
      <c r="E12" t="str">
        <f>E6</f>
        <v>nr.1</v>
      </c>
      <c r="F12" s="725" t="s">
        <v>554</v>
      </c>
      <c r="G12" s="675"/>
      <c r="H12" s="725" t="s">
        <v>564</v>
      </c>
      <c r="I12" s="728"/>
    </row>
    <row r="13" spans="2:11" ht="13.8" thickBot="1" x14ac:dyDescent="0.3"/>
    <row r="14" spans="2:11" ht="16.2" thickBot="1" x14ac:dyDescent="0.35">
      <c r="B14" s="379" t="s">
        <v>108</v>
      </c>
      <c r="C14" s="156"/>
      <c r="D14" s="157"/>
      <c r="E14" s="199" t="s">
        <v>109</v>
      </c>
      <c r="F14" s="658" t="s">
        <v>421</v>
      </c>
      <c r="G14" s="659"/>
    </row>
    <row r="15" spans="2:11" ht="16.2" thickBot="1" x14ac:dyDescent="0.35">
      <c r="B15" s="660" t="s">
        <v>0</v>
      </c>
      <c r="C15" s="661"/>
      <c r="D15" s="661"/>
      <c r="E15" s="662" t="s">
        <v>111</v>
      </c>
      <c r="F15" s="585" t="s">
        <v>420</v>
      </c>
      <c r="G15" s="663"/>
      <c r="J15">
        <v>31.440000000000012</v>
      </c>
    </row>
    <row r="16" spans="2:11" ht="16.2" thickBot="1" x14ac:dyDescent="0.35">
      <c r="B16" s="13"/>
      <c r="C16" s="8"/>
      <c r="D16" s="8"/>
      <c r="E16" s="8"/>
      <c r="F16" s="8"/>
    </row>
    <row r="17" spans="2:10" ht="15.6" x14ac:dyDescent="0.3">
      <c r="B17" s="382" t="s">
        <v>39</v>
      </c>
      <c r="C17" s="156"/>
      <c r="D17" s="156"/>
      <c r="E17" s="199" t="s">
        <v>112</v>
      </c>
      <c r="F17" s="383"/>
    </row>
    <row r="18" spans="2:10" ht="16.2" thickBot="1" x14ac:dyDescent="0.35">
      <c r="B18" s="507">
        <v>43830</v>
      </c>
      <c r="C18" s="508" t="s">
        <v>2</v>
      </c>
      <c r="D18" s="508"/>
      <c r="E18" s="508"/>
      <c r="F18" s="104">
        <f>'project 2019'!F66</f>
        <v>354.98</v>
      </c>
    </row>
    <row r="19" spans="2:10" ht="15.6" x14ac:dyDescent="0.3">
      <c r="B19" s="589"/>
      <c r="C19" s="590" t="s">
        <v>528</v>
      </c>
      <c r="D19" s="590"/>
      <c r="E19" s="591"/>
      <c r="F19" s="449"/>
    </row>
    <row r="20" spans="2:10" ht="15.6" x14ac:dyDescent="0.3">
      <c r="B20" s="387">
        <v>43833</v>
      </c>
      <c r="C20" s="170" t="s">
        <v>67</v>
      </c>
      <c r="D20" s="170"/>
      <c r="E20" s="165"/>
      <c r="F20" s="210">
        <v>-9.9499999999999993</v>
      </c>
    </row>
    <row r="21" spans="2:10" ht="15.6" x14ac:dyDescent="0.3">
      <c r="B21" s="387">
        <v>43863</v>
      </c>
      <c r="C21" s="170" t="s">
        <v>67</v>
      </c>
      <c r="D21" s="170"/>
      <c r="E21" s="165"/>
      <c r="F21" s="210">
        <v>-9.9499999999999993</v>
      </c>
    </row>
    <row r="22" spans="2:10" ht="15.6" x14ac:dyDescent="0.3">
      <c r="B22" s="387"/>
      <c r="C22" s="170" t="s">
        <v>67</v>
      </c>
      <c r="D22" s="170"/>
      <c r="E22" s="165"/>
      <c r="F22" s="210">
        <v>-9.94</v>
      </c>
    </row>
    <row r="23" spans="2:10" ht="15.6" x14ac:dyDescent="0.3">
      <c r="B23" s="387">
        <v>43923</v>
      </c>
      <c r="C23" s="170" t="s">
        <v>67</v>
      </c>
      <c r="D23" s="170"/>
      <c r="E23" s="165"/>
      <c r="F23" s="210">
        <v>-9.94</v>
      </c>
    </row>
    <row r="24" spans="2:10" ht="15.6" x14ac:dyDescent="0.3">
      <c r="B24" s="387">
        <v>43956</v>
      </c>
      <c r="C24" s="170" t="s">
        <v>67</v>
      </c>
      <c r="D24" s="170"/>
      <c r="E24" s="165"/>
      <c r="F24" s="210">
        <v>-9.9600000000000009</v>
      </c>
    </row>
    <row r="25" spans="2:10" ht="15.6" x14ac:dyDescent="0.3">
      <c r="B25" s="387">
        <v>43984</v>
      </c>
      <c r="C25" s="170" t="s">
        <v>67</v>
      </c>
      <c r="D25" s="170"/>
      <c r="E25" s="165"/>
      <c r="F25" s="210">
        <v>-9.93</v>
      </c>
    </row>
    <row r="26" spans="2:10" ht="15.6" x14ac:dyDescent="0.3">
      <c r="B26" s="387">
        <v>44014</v>
      </c>
      <c r="C26" s="170" t="s">
        <v>67</v>
      </c>
      <c r="D26" s="170"/>
      <c r="E26" s="165"/>
      <c r="F26" s="210">
        <v>-9.9600000000000009</v>
      </c>
    </row>
    <row r="27" spans="2:10" ht="15.6" x14ac:dyDescent="0.3">
      <c r="B27" s="387">
        <v>44047</v>
      </c>
      <c r="C27" s="170" t="s">
        <v>67</v>
      </c>
      <c r="D27" s="170"/>
      <c r="E27" s="165"/>
      <c r="F27" s="210">
        <v>-9.94</v>
      </c>
    </row>
    <row r="28" spans="2:10" ht="15.6" x14ac:dyDescent="0.3">
      <c r="B28" s="387">
        <v>44076</v>
      </c>
      <c r="C28" s="170" t="s">
        <v>67</v>
      </c>
      <c r="D28" s="170"/>
      <c r="E28" s="165"/>
      <c r="F28" s="210">
        <v>-9.94</v>
      </c>
    </row>
    <row r="29" spans="2:10" ht="16.2" thickBot="1" x14ac:dyDescent="0.35">
      <c r="B29" s="387">
        <v>44106</v>
      </c>
      <c r="C29" s="170" t="s">
        <v>67</v>
      </c>
      <c r="D29" s="170"/>
      <c r="E29" s="165"/>
      <c r="F29" s="210">
        <v>-9.9600000000000009</v>
      </c>
    </row>
    <row r="30" spans="2:10" ht="16.2" thickBot="1" x14ac:dyDescent="0.35">
      <c r="B30" s="387">
        <v>44112</v>
      </c>
      <c r="C30" s="170" t="s">
        <v>559</v>
      </c>
      <c r="D30" s="170"/>
      <c r="E30" s="165"/>
      <c r="F30" s="210">
        <v>-235.51</v>
      </c>
      <c r="H30" s="725" t="s">
        <v>565</v>
      </c>
      <c r="I30" s="675"/>
      <c r="J30" s="675"/>
    </row>
    <row r="31" spans="2:10" ht="15.6" x14ac:dyDescent="0.3">
      <c r="B31" s="387">
        <v>44138</v>
      </c>
      <c r="C31" s="170" t="s">
        <v>67</v>
      </c>
      <c r="D31" s="170"/>
      <c r="E31" s="165"/>
      <c r="F31" s="210">
        <v>-9.9499999999999993</v>
      </c>
    </row>
    <row r="32" spans="2:10" ht="15.6" x14ac:dyDescent="0.3">
      <c r="B32" s="387">
        <v>44167</v>
      </c>
      <c r="C32" s="170" t="s">
        <v>67</v>
      </c>
      <c r="D32" s="170"/>
      <c r="E32" s="165"/>
      <c r="F32" s="210">
        <v>-9.9499999999999993</v>
      </c>
    </row>
    <row r="33" spans="1:10" ht="16.2" thickBot="1" x14ac:dyDescent="0.35">
      <c r="B33" s="592"/>
      <c r="C33" s="593" t="s">
        <v>529</v>
      </c>
      <c r="D33" s="593"/>
      <c r="E33" s="594"/>
      <c r="F33" s="595">
        <f>SUM(F19:F32)</f>
        <v>-354.88</v>
      </c>
    </row>
    <row r="34" spans="1:10" ht="15.6" x14ac:dyDescent="0.3">
      <c r="B34" s="589"/>
      <c r="C34" s="590" t="s">
        <v>530</v>
      </c>
      <c r="D34" s="590"/>
      <c r="E34" s="591"/>
      <c r="F34" s="449"/>
      <c r="I34" s="247"/>
      <c r="J34" s="247"/>
    </row>
    <row r="35" spans="1:10" ht="16.2" thickBot="1" x14ac:dyDescent="0.35">
      <c r="B35" s="592"/>
      <c r="C35" s="593" t="s">
        <v>532</v>
      </c>
      <c r="D35" s="593"/>
      <c r="E35" s="594"/>
      <c r="F35" s="595">
        <f>SUM(F34:F34)</f>
        <v>0</v>
      </c>
      <c r="I35" s="116"/>
      <c r="J35" s="116"/>
    </row>
    <row r="36" spans="1:10" ht="16.2" thickBot="1" x14ac:dyDescent="0.35">
      <c r="B36" s="98">
        <f>B2</f>
        <v>44196</v>
      </c>
      <c r="C36" s="92" t="s">
        <v>2</v>
      </c>
      <c r="D36" s="92"/>
      <c r="E36" s="509"/>
      <c r="F36" s="99">
        <f>F18+F33+F35</f>
        <v>0.10000000000002274</v>
      </c>
      <c r="I36" s="116"/>
      <c r="J36" s="116"/>
    </row>
    <row r="37" spans="1:10" ht="28.5" customHeight="1" x14ac:dyDescent="0.3">
      <c r="B37" s="114"/>
      <c r="C37" s="96"/>
      <c r="D37" s="96"/>
      <c r="E37" s="510"/>
      <c r="F37" s="115"/>
      <c r="I37" s="116"/>
      <c r="J37" s="116"/>
    </row>
    <row r="38" spans="1:10" ht="15.6" x14ac:dyDescent="0.3">
      <c r="B38" s="114"/>
      <c r="C38" s="96"/>
      <c r="D38" s="96"/>
      <c r="E38" s="510"/>
      <c r="F38" s="115"/>
      <c r="I38" s="116"/>
      <c r="J38" s="116"/>
    </row>
    <row r="39" spans="1:10" ht="15.6" x14ac:dyDescent="0.3">
      <c r="B39" s="417"/>
      <c r="C39" s="8"/>
      <c r="D39" s="8"/>
      <c r="E39" s="12"/>
      <c r="F39" s="202"/>
      <c r="I39" s="116"/>
      <c r="J39" s="116"/>
    </row>
    <row r="40" spans="1:10" ht="16.2" thickBot="1" x14ac:dyDescent="0.35">
      <c r="B40" s="417"/>
      <c r="C40" s="8"/>
      <c r="D40" s="8"/>
      <c r="E40" s="12"/>
      <c r="F40" s="202"/>
      <c r="I40" s="116"/>
      <c r="J40" s="116"/>
    </row>
    <row r="41" spans="1:10" ht="15.6" x14ac:dyDescent="0.3">
      <c r="A41" s="95"/>
      <c r="B41" s="223" t="s">
        <v>95</v>
      </c>
      <c r="C41" s="182"/>
      <c r="D41" s="157"/>
      <c r="E41" s="199" t="s">
        <v>114</v>
      </c>
      <c r="F41" s="176"/>
      <c r="I41" s="116"/>
      <c r="J41" s="116"/>
    </row>
    <row r="42" spans="1:10" ht="16.2" thickBot="1" x14ac:dyDescent="0.35">
      <c r="B42" s="507">
        <v>43830</v>
      </c>
      <c r="C42" s="508" t="s">
        <v>2</v>
      </c>
      <c r="D42" s="508"/>
      <c r="E42" s="508"/>
      <c r="F42" s="104">
        <f>'project 2019'!F77</f>
        <v>31.44</v>
      </c>
      <c r="I42" s="116"/>
      <c r="J42" s="116"/>
    </row>
    <row r="43" spans="1:10" ht="16.2" thickBot="1" x14ac:dyDescent="0.35">
      <c r="B43" s="589"/>
      <c r="C43" s="590" t="s">
        <v>528</v>
      </c>
      <c r="D43" s="590"/>
      <c r="E43" s="591"/>
      <c r="F43" s="449"/>
      <c r="I43" s="116"/>
      <c r="J43" s="116"/>
    </row>
    <row r="44" spans="1:10" ht="16.2" thickBot="1" x14ac:dyDescent="0.35">
      <c r="B44" s="387">
        <v>44112</v>
      </c>
      <c r="C44" s="736">
        <v>44477</v>
      </c>
      <c r="D44" s="170"/>
      <c r="E44" s="165"/>
      <c r="F44" s="210">
        <v>-31.44</v>
      </c>
      <c r="H44" s="725" t="s">
        <v>565</v>
      </c>
      <c r="I44" s="116"/>
      <c r="J44" s="116"/>
    </row>
    <row r="45" spans="1:10" ht="16.2" thickBot="1" x14ac:dyDescent="0.35">
      <c r="B45" s="592"/>
      <c r="C45" s="593" t="s">
        <v>529</v>
      </c>
      <c r="D45" s="593"/>
      <c r="E45" s="594"/>
      <c r="F45" s="595">
        <f>SUM(F43:F44)</f>
        <v>-31.44</v>
      </c>
      <c r="I45" s="116"/>
      <c r="J45" s="116"/>
    </row>
    <row r="46" spans="1:10" ht="15.6" x14ac:dyDescent="0.3">
      <c r="B46" s="589"/>
      <c r="C46" s="590" t="s">
        <v>530</v>
      </c>
      <c r="D46" s="590"/>
      <c r="E46" s="591"/>
      <c r="F46" s="449"/>
      <c r="I46" s="116"/>
      <c r="J46" s="116"/>
    </row>
    <row r="47" spans="1:10" ht="15" customHeight="1" x14ac:dyDescent="0.3">
      <c r="B47" s="387"/>
      <c r="C47" s="170"/>
      <c r="D47" s="170"/>
      <c r="E47" s="165"/>
      <c r="F47" s="210"/>
      <c r="I47" s="193"/>
      <c r="J47" s="116"/>
    </row>
    <row r="48" spans="1:10" ht="16.2" thickBot="1" x14ac:dyDescent="0.35">
      <c r="B48" s="592"/>
      <c r="C48" s="593" t="s">
        <v>532</v>
      </c>
      <c r="D48" s="593"/>
      <c r="E48" s="594"/>
      <c r="F48" s="595">
        <f>SUM(F46:F47)</f>
        <v>0</v>
      </c>
      <c r="I48" s="193"/>
      <c r="J48" s="116"/>
    </row>
    <row r="49" spans="2:10" ht="16.2" thickBot="1" x14ac:dyDescent="0.35">
      <c r="B49" s="667">
        <f>B2</f>
        <v>44196</v>
      </c>
      <c r="C49" s="668" t="s">
        <v>2</v>
      </c>
      <c r="D49" s="668"/>
      <c r="E49" s="669"/>
      <c r="F49" s="670">
        <f>F42+F45+F48</f>
        <v>0</v>
      </c>
      <c r="I49" s="193"/>
      <c r="J49" s="116"/>
    </row>
    <row r="50" spans="2:10" ht="15.6" x14ac:dyDescent="0.3">
      <c r="B50" s="702"/>
      <c r="C50" s="31"/>
      <c r="D50" s="31"/>
      <c r="E50" s="75"/>
      <c r="F50" s="703"/>
      <c r="I50" s="193"/>
      <c r="J50" s="116"/>
    </row>
    <row r="51" spans="2:10" ht="13.8" thickBot="1" x14ac:dyDescent="0.3">
      <c r="B51" s="704" t="s">
        <v>131</v>
      </c>
      <c r="C51" s="705"/>
      <c r="D51" s="705"/>
      <c r="E51" s="705"/>
      <c r="F51" s="706"/>
      <c r="I51" s="116"/>
      <c r="J51" s="116"/>
    </row>
    <row r="52" spans="2:10" ht="15.6" x14ac:dyDescent="0.3">
      <c r="B52" s="389" t="s">
        <v>83</v>
      </c>
      <c r="C52" s="371"/>
      <c r="D52" s="155"/>
      <c r="E52" s="372" t="s">
        <v>115</v>
      </c>
      <c r="F52" s="177"/>
      <c r="I52" s="116"/>
      <c r="J52" s="116"/>
    </row>
    <row r="53" spans="2:10" ht="15.6" x14ac:dyDescent="0.3">
      <c r="B53" s="400">
        <v>43100</v>
      </c>
      <c r="C53" s="211" t="s">
        <v>422</v>
      </c>
      <c r="D53" s="211"/>
      <c r="E53" s="211"/>
      <c r="F53" s="210">
        <v>7537.84</v>
      </c>
      <c r="I53" s="116"/>
      <c r="J53" s="116"/>
    </row>
    <row r="54" spans="2:10" ht="15.6" x14ac:dyDescent="0.3">
      <c r="B54" s="377"/>
      <c r="C54" s="415" t="s">
        <v>364</v>
      </c>
      <c r="D54" s="415"/>
      <c r="E54" s="415"/>
      <c r="F54" s="172">
        <v>-2475.85</v>
      </c>
      <c r="H54" s="116"/>
    </row>
    <row r="55" spans="2:10" ht="15.6" x14ac:dyDescent="0.3">
      <c r="B55" s="377"/>
      <c r="C55" s="415" t="s">
        <v>365</v>
      </c>
      <c r="D55" s="415"/>
      <c r="E55" s="415"/>
      <c r="F55" s="172">
        <v>1.68</v>
      </c>
      <c r="H55" s="116"/>
    </row>
    <row r="56" spans="2:10" ht="16.2" thickBot="1" x14ac:dyDescent="0.35">
      <c r="B56" s="507">
        <v>43465</v>
      </c>
      <c r="C56" s="508" t="s">
        <v>2</v>
      </c>
      <c r="D56" s="508"/>
      <c r="E56" s="508"/>
      <c r="F56" s="104">
        <v>5063.67</v>
      </c>
      <c r="H56" s="116"/>
    </row>
    <row r="57" spans="2:10" ht="15.6" x14ac:dyDescent="0.3">
      <c r="B57" s="589"/>
      <c r="C57" s="590" t="s">
        <v>424</v>
      </c>
      <c r="D57" s="590"/>
      <c r="E57" s="591"/>
      <c r="F57" s="449"/>
    </row>
    <row r="58" spans="2:10" ht="15.6" x14ac:dyDescent="0.3">
      <c r="B58" s="387">
        <v>43702</v>
      </c>
      <c r="C58" s="170" t="s">
        <v>471</v>
      </c>
      <c r="D58" s="170"/>
      <c r="E58" s="165"/>
      <c r="F58" s="210">
        <v>-154.88</v>
      </c>
      <c r="H58" s="624" t="s">
        <v>376</v>
      </c>
    </row>
    <row r="59" spans="2:10" ht="15.6" x14ac:dyDescent="0.3">
      <c r="B59" s="387">
        <v>43713</v>
      </c>
      <c r="C59" s="170" t="s">
        <v>473</v>
      </c>
      <c r="D59" s="170"/>
      <c r="E59" s="165"/>
      <c r="F59" s="210">
        <v>-144.25</v>
      </c>
      <c r="H59" s="624" t="s">
        <v>376</v>
      </c>
    </row>
    <row r="60" spans="2:10" ht="15.6" x14ac:dyDescent="0.3">
      <c r="B60" s="387">
        <v>43738</v>
      </c>
      <c r="C60" s="170" t="s">
        <v>476</v>
      </c>
      <c r="D60" s="170"/>
      <c r="E60" s="165">
        <v>20190030</v>
      </c>
      <c r="F60" s="210">
        <v>-1863.4</v>
      </c>
      <c r="H60" s="624" t="s">
        <v>376</v>
      </c>
    </row>
    <row r="61" spans="2:10" ht="15.6" x14ac:dyDescent="0.3">
      <c r="B61" s="387">
        <v>43746</v>
      </c>
      <c r="C61" s="170" t="s">
        <v>477</v>
      </c>
      <c r="D61" s="170"/>
      <c r="E61" s="165"/>
      <c r="F61" s="210">
        <v>-337.63</v>
      </c>
      <c r="H61" s="624" t="s">
        <v>376</v>
      </c>
    </row>
    <row r="62" spans="2:10" ht="15.6" x14ac:dyDescent="0.3">
      <c r="B62" s="387">
        <v>43781</v>
      </c>
      <c r="C62" s="170" t="s">
        <v>506</v>
      </c>
      <c r="D62" s="170"/>
      <c r="E62" s="165"/>
      <c r="F62" s="210">
        <v>-90</v>
      </c>
      <c r="H62" s="624" t="s">
        <v>376</v>
      </c>
    </row>
    <row r="63" spans="2:10" ht="15.6" x14ac:dyDescent="0.3">
      <c r="B63" s="387">
        <v>43809</v>
      </c>
      <c r="C63" s="170" t="s">
        <v>507</v>
      </c>
      <c r="D63" s="170"/>
      <c r="E63" s="165"/>
      <c r="F63" s="210">
        <v>-121</v>
      </c>
      <c r="H63" s="624" t="s">
        <v>376</v>
      </c>
    </row>
    <row r="64" spans="2:10" ht="16.2" thickBot="1" x14ac:dyDescent="0.35">
      <c r="B64" s="592"/>
      <c r="C64" s="593" t="s">
        <v>425</v>
      </c>
      <c r="D64" s="593"/>
      <c r="E64" s="594"/>
      <c r="F64" s="595">
        <v>-2711.1600000000003</v>
      </c>
    </row>
    <row r="65" spans="2:12" ht="15.6" x14ac:dyDescent="0.3">
      <c r="B65" s="589"/>
      <c r="C65" s="590" t="s">
        <v>481</v>
      </c>
      <c r="D65" s="590"/>
      <c r="E65" s="591"/>
      <c r="F65" s="449"/>
    </row>
    <row r="66" spans="2:12" ht="15.6" x14ac:dyDescent="0.3">
      <c r="B66" s="387">
        <v>43466</v>
      </c>
      <c r="C66" s="211" t="s">
        <v>59</v>
      </c>
      <c r="D66" s="170"/>
      <c r="E66" s="165"/>
      <c r="F66" s="210">
        <v>0.65</v>
      </c>
      <c r="H66" s="624" t="s">
        <v>376</v>
      </c>
    </row>
    <row r="67" spans="2:12" ht="17.399999999999999" x14ac:dyDescent="0.3">
      <c r="B67" s="387">
        <v>43500</v>
      </c>
      <c r="C67" s="170" t="s">
        <v>464</v>
      </c>
      <c r="D67" s="170"/>
      <c r="E67" s="165"/>
      <c r="F67" s="210">
        <v>1250</v>
      </c>
      <c r="H67" s="624" t="s">
        <v>376</v>
      </c>
      <c r="I67" s="422"/>
      <c r="J67" s="116"/>
      <c r="K67" s="616"/>
      <c r="L67" s="423"/>
    </row>
    <row r="68" spans="2:12" ht="15.6" x14ac:dyDescent="0.3">
      <c r="B68" s="387">
        <v>43501</v>
      </c>
      <c r="C68" s="170" t="s">
        <v>164</v>
      </c>
      <c r="D68" s="170"/>
      <c r="E68" s="165"/>
      <c r="F68" s="210">
        <v>10</v>
      </c>
      <c r="H68" s="624" t="s">
        <v>376</v>
      </c>
      <c r="I68" s="116"/>
      <c r="J68" s="116"/>
      <c r="K68" s="424"/>
      <c r="L68" s="116"/>
    </row>
    <row r="69" spans="2:12" ht="15.6" x14ac:dyDescent="0.3">
      <c r="B69" s="387">
        <v>43523</v>
      </c>
      <c r="C69" s="170" t="s">
        <v>463</v>
      </c>
      <c r="D69" s="170"/>
      <c r="E69" s="165"/>
      <c r="F69" s="210">
        <v>2500</v>
      </c>
      <c r="H69" s="624" t="s">
        <v>376</v>
      </c>
      <c r="J69" s="116"/>
      <c r="L69" s="116"/>
    </row>
    <row r="70" spans="2:12" ht="15.6" x14ac:dyDescent="0.3">
      <c r="B70" s="387">
        <v>43537</v>
      </c>
      <c r="C70" s="170" t="s">
        <v>461</v>
      </c>
      <c r="D70" s="170"/>
      <c r="E70" s="165"/>
      <c r="F70" s="210">
        <v>1000</v>
      </c>
      <c r="H70" s="624" t="s">
        <v>376</v>
      </c>
      <c r="I70" s="116"/>
      <c r="J70" s="116"/>
      <c r="K70" s="116"/>
    </row>
    <row r="71" spans="2:12" ht="15.6" x14ac:dyDescent="0.3">
      <c r="B71" s="387">
        <v>43552</v>
      </c>
      <c r="C71" s="170" t="s">
        <v>462</v>
      </c>
      <c r="D71" s="170"/>
      <c r="E71" s="165"/>
      <c r="F71" s="210">
        <v>3500</v>
      </c>
      <c r="H71" s="624" t="s">
        <v>488</v>
      </c>
      <c r="I71" s="116"/>
      <c r="J71" s="116"/>
      <c r="K71" s="422"/>
    </row>
    <row r="72" spans="2:12" ht="15.6" x14ac:dyDescent="0.3">
      <c r="B72" s="387">
        <v>43773</v>
      </c>
      <c r="C72" s="170" t="s">
        <v>489</v>
      </c>
      <c r="D72" s="170"/>
      <c r="E72" s="165"/>
      <c r="F72" s="539">
        <v>-1000</v>
      </c>
      <c r="H72" s="624" t="s">
        <v>491</v>
      </c>
      <c r="I72" s="615"/>
      <c r="J72" s="116"/>
    </row>
    <row r="73" spans="2:12" ht="15.6" x14ac:dyDescent="0.3">
      <c r="B73" s="387">
        <v>43552</v>
      </c>
      <c r="C73" s="170" t="s">
        <v>465</v>
      </c>
      <c r="D73" s="170"/>
      <c r="E73" s="165"/>
      <c r="F73" s="210">
        <v>3000</v>
      </c>
      <c r="H73" s="624" t="s">
        <v>376</v>
      </c>
      <c r="I73" s="116"/>
      <c r="J73" s="116"/>
    </row>
    <row r="74" spans="2:12" ht="17.399999999999999" x14ac:dyDescent="0.3">
      <c r="B74" s="387">
        <v>43605</v>
      </c>
      <c r="C74" s="170" t="s">
        <v>466</v>
      </c>
      <c r="D74" s="170"/>
      <c r="E74" s="165"/>
      <c r="F74" s="210">
        <v>2250</v>
      </c>
      <c r="H74" s="624" t="s">
        <v>376</v>
      </c>
      <c r="I74" s="116"/>
      <c r="J74" s="116"/>
      <c r="K74" s="423"/>
    </row>
    <row r="75" spans="2:12" ht="17.399999999999999" x14ac:dyDescent="0.3">
      <c r="B75" s="387">
        <v>43738</v>
      </c>
      <c r="C75" s="170" t="s">
        <v>492</v>
      </c>
      <c r="D75" s="170"/>
      <c r="E75" s="165"/>
      <c r="F75" s="210">
        <v>4000</v>
      </c>
      <c r="H75" s="624" t="s">
        <v>376</v>
      </c>
      <c r="I75" s="116"/>
      <c r="J75" s="116"/>
      <c r="K75" s="423"/>
    </row>
    <row r="76" spans="2:12" ht="15.6" x14ac:dyDescent="0.3">
      <c r="B76" s="387">
        <v>43773</v>
      </c>
      <c r="C76" s="170" t="s">
        <v>497</v>
      </c>
      <c r="D76" s="170"/>
      <c r="E76" s="165"/>
      <c r="F76" s="210">
        <v>4000</v>
      </c>
      <c r="H76" s="626" t="s">
        <v>513</v>
      </c>
      <c r="I76" s="116"/>
      <c r="J76" s="116"/>
    </row>
    <row r="77" spans="2:12" ht="15.6" x14ac:dyDescent="0.3">
      <c r="B77" s="387">
        <v>43773</v>
      </c>
      <c r="C77" s="170" t="s">
        <v>496</v>
      </c>
      <c r="D77" s="170"/>
      <c r="E77" s="165"/>
      <c r="F77" s="210">
        <v>1000</v>
      </c>
      <c r="H77" s="624" t="s">
        <v>498</v>
      </c>
      <c r="I77" s="116"/>
      <c r="J77" s="116"/>
    </row>
    <row r="78" spans="2:12" ht="16.2" thickBot="1" x14ac:dyDescent="0.35">
      <c r="B78" s="592"/>
      <c r="C78" s="593" t="s">
        <v>427</v>
      </c>
      <c r="D78" s="593"/>
      <c r="E78" s="594"/>
      <c r="F78" s="595">
        <v>21510.65</v>
      </c>
    </row>
    <row r="79" spans="2:12" ht="16.2" thickBot="1" x14ac:dyDescent="0.35">
      <c r="B79" s="667">
        <v>43830</v>
      </c>
      <c r="C79" s="668" t="s">
        <v>2</v>
      </c>
      <c r="D79" s="668"/>
      <c r="E79" s="669"/>
      <c r="F79" s="670">
        <v>23863.16</v>
      </c>
    </row>
    <row r="80" spans="2:12" ht="15.6" x14ac:dyDescent="0.3">
      <c r="B80" s="387"/>
      <c r="C80" s="170" t="s">
        <v>528</v>
      </c>
      <c r="D80" s="170"/>
      <c r="E80" s="165"/>
      <c r="F80" s="210"/>
    </row>
    <row r="81" spans="2:8" ht="15.6" x14ac:dyDescent="0.3">
      <c r="B81" s="387">
        <v>43848</v>
      </c>
      <c r="C81" s="170" t="s">
        <v>539</v>
      </c>
      <c r="D81" s="170"/>
      <c r="E81" s="165"/>
      <c r="F81" s="210">
        <v>-19.63</v>
      </c>
    </row>
    <row r="82" spans="2:8" ht="15.6" x14ac:dyDescent="0.3">
      <c r="B82" s="387">
        <v>43874</v>
      </c>
      <c r="C82" s="170" t="s">
        <v>542</v>
      </c>
      <c r="D82" s="170"/>
      <c r="E82" s="165"/>
      <c r="F82" s="210">
        <v>-9198.51</v>
      </c>
    </row>
    <row r="83" spans="2:8" ht="15.6" x14ac:dyDescent="0.3">
      <c r="B83" s="387">
        <v>43965</v>
      </c>
      <c r="C83" s="170" t="s">
        <v>543</v>
      </c>
      <c r="D83" s="170"/>
      <c r="E83" s="165"/>
      <c r="F83" s="210">
        <v>-32</v>
      </c>
    </row>
    <row r="84" spans="2:8" ht="15.6" x14ac:dyDescent="0.3">
      <c r="B84" s="387">
        <v>44017</v>
      </c>
      <c r="C84" s="170" t="s">
        <v>544</v>
      </c>
      <c r="D84" s="170"/>
      <c r="E84" s="165"/>
      <c r="F84" s="210">
        <v>-135.05000000000001</v>
      </c>
    </row>
    <row r="85" spans="2:8" ht="15.6" x14ac:dyDescent="0.3">
      <c r="B85" s="387">
        <v>44099</v>
      </c>
      <c r="C85" s="170" t="s">
        <v>547</v>
      </c>
      <c r="D85" s="170"/>
      <c r="E85" s="165"/>
      <c r="F85" s="210">
        <v>-48</v>
      </c>
    </row>
    <row r="86" spans="2:8" ht="15.6" x14ac:dyDescent="0.3">
      <c r="B86" s="387">
        <v>44099</v>
      </c>
      <c r="C86" s="170" t="s">
        <v>548</v>
      </c>
      <c r="D86" s="170"/>
      <c r="E86" s="165"/>
      <c r="F86" s="210">
        <v>-39.869999999999997</v>
      </c>
    </row>
    <row r="87" spans="2:8" ht="15.6" x14ac:dyDescent="0.3">
      <c r="B87" s="387">
        <v>44099</v>
      </c>
      <c r="C87" s="170" t="s">
        <v>549</v>
      </c>
      <c r="D87" s="170"/>
      <c r="E87" s="165"/>
      <c r="F87" s="210">
        <v>-496.1</v>
      </c>
    </row>
    <row r="88" spans="2:8" ht="15.6" x14ac:dyDescent="0.3">
      <c r="B88" s="387">
        <v>44109</v>
      </c>
      <c r="C88" s="170" t="s">
        <v>551</v>
      </c>
      <c r="D88" s="170"/>
      <c r="E88" s="165"/>
      <c r="F88" s="210">
        <v>-362.15</v>
      </c>
      <c r="G88" s="95"/>
    </row>
    <row r="89" spans="2:8" ht="15.6" x14ac:dyDescent="0.3">
      <c r="B89" s="387">
        <v>44113</v>
      </c>
      <c r="C89" s="170" t="s">
        <v>573</v>
      </c>
      <c r="D89" s="170"/>
      <c r="E89" s="165"/>
      <c r="F89" s="210">
        <v>-217.49</v>
      </c>
      <c r="G89" s="95"/>
      <c r="H89" s="7"/>
    </row>
    <row r="90" spans="2:8" ht="15.6" x14ac:dyDescent="0.3">
      <c r="B90" s="387">
        <v>44124</v>
      </c>
      <c r="C90" s="170" t="s">
        <v>574</v>
      </c>
      <c r="D90" s="170"/>
      <c r="E90" s="165"/>
      <c r="F90" s="210">
        <v>-353.93</v>
      </c>
      <c r="G90" s="95"/>
    </row>
    <row r="91" spans="2:8" ht="16.5" customHeight="1" x14ac:dyDescent="0.3">
      <c r="B91" s="671"/>
      <c r="C91" s="665" t="s">
        <v>529</v>
      </c>
      <c r="D91" s="665"/>
      <c r="E91" s="666"/>
      <c r="F91" s="672">
        <f>SUM(F80:F90)</f>
        <v>-10902.73</v>
      </c>
    </row>
    <row r="92" spans="2:8" ht="15.6" x14ac:dyDescent="0.3">
      <c r="B92" s="387"/>
      <c r="C92" s="170" t="s">
        <v>530</v>
      </c>
      <c r="D92" s="170"/>
      <c r="E92" s="165"/>
      <c r="F92" s="210"/>
    </row>
    <row r="93" spans="2:8" ht="15.6" x14ac:dyDescent="0.3">
      <c r="B93" s="387">
        <v>43831</v>
      </c>
      <c r="C93" s="170" t="s">
        <v>59</v>
      </c>
      <c r="D93" s="170"/>
      <c r="E93" s="165"/>
      <c r="F93" s="210">
        <v>1.6</v>
      </c>
    </row>
    <row r="94" spans="2:8" ht="15.6" x14ac:dyDescent="0.3">
      <c r="B94" s="387">
        <v>44039</v>
      </c>
      <c r="C94" s="170" t="s">
        <v>545</v>
      </c>
      <c r="D94" s="170"/>
      <c r="E94" s="165"/>
      <c r="F94" s="210">
        <v>17.5</v>
      </c>
    </row>
    <row r="95" spans="2:8" ht="15.6" x14ac:dyDescent="0.3">
      <c r="B95" s="387">
        <v>44113</v>
      </c>
      <c r="C95" s="170" t="s">
        <v>545</v>
      </c>
      <c r="D95" s="170"/>
      <c r="E95" s="165"/>
      <c r="F95" s="210">
        <v>20</v>
      </c>
      <c r="G95" s="95"/>
    </row>
    <row r="96" spans="2:8" ht="15.6" x14ac:dyDescent="0.3">
      <c r="B96" s="387"/>
      <c r="C96" s="170"/>
      <c r="D96" s="170"/>
      <c r="E96" s="165"/>
      <c r="F96" s="210"/>
    </row>
    <row r="97" spans="1:8" ht="15.6" x14ac:dyDescent="0.3">
      <c r="B97" s="671"/>
      <c r="C97" s="665" t="s">
        <v>531</v>
      </c>
      <c r="D97" s="665"/>
      <c r="E97" s="666"/>
      <c r="F97" s="672">
        <f>SUM(F92:F96)</f>
        <v>39.1</v>
      </c>
    </row>
    <row r="98" spans="1:8" ht="16.2" thickBot="1" x14ac:dyDescent="0.35">
      <c r="B98" s="98">
        <f>B2</f>
        <v>44196</v>
      </c>
      <c r="C98" s="92" t="s">
        <v>2</v>
      </c>
      <c r="D98" s="92"/>
      <c r="E98" s="509"/>
      <c r="F98" s="99">
        <f>F79+F91+F97</f>
        <v>12999.53</v>
      </c>
    </row>
    <row r="99" spans="1:8" ht="16.2" thickBot="1" x14ac:dyDescent="0.35">
      <c r="B99" s="13"/>
      <c r="C99" s="204"/>
      <c r="D99" s="204"/>
      <c r="E99" s="204"/>
      <c r="F99" s="202"/>
    </row>
    <row r="100" spans="1:8" ht="15.6" x14ac:dyDescent="0.3">
      <c r="A100" s="95"/>
      <c r="B100" s="223" t="s">
        <v>88</v>
      </c>
      <c r="C100" s="182"/>
      <c r="D100" s="182"/>
      <c r="E100" s="393" t="s">
        <v>116</v>
      </c>
      <c r="F100" s="394"/>
    </row>
    <row r="101" spans="1:8" ht="16.2" thickBot="1" x14ac:dyDescent="0.35">
      <c r="B101" s="507">
        <v>43465</v>
      </c>
      <c r="C101" s="508" t="s">
        <v>2</v>
      </c>
      <c r="D101" s="508"/>
      <c r="E101" s="508"/>
      <c r="F101" s="104">
        <v>1500</v>
      </c>
      <c r="G101" s="504"/>
    </row>
    <row r="102" spans="1:8" ht="15.6" x14ac:dyDescent="0.3">
      <c r="B102" s="589"/>
      <c r="C102" s="590" t="s">
        <v>424</v>
      </c>
      <c r="D102" s="590"/>
      <c r="E102" s="591"/>
      <c r="F102" s="449"/>
    </row>
    <row r="103" spans="1:8" ht="15.6" x14ac:dyDescent="0.3">
      <c r="A103" s="425"/>
      <c r="B103" s="387">
        <v>43738</v>
      </c>
      <c r="C103" s="170" t="s">
        <v>474</v>
      </c>
      <c r="D103" s="170"/>
      <c r="E103" s="165"/>
      <c r="F103" s="210">
        <v>-2500</v>
      </c>
      <c r="H103" s="624" t="s">
        <v>376</v>
      </c>
    </row>
    <row r="104" spans="1:8" ht="16.2" thickBot="1" x14ac:dyDescent="0.35">
      <c r="B104" s="592"/>
      <c r="C104" s="593" t="s">
        <v>425</v>
      </c>
      <c r="D104" s="593"/>
      <c r="E104" s="594"/>
      <c r="F104" s="595">
        <v>-2500</v>
      </c>
    </row>
    <row r="105" spans="1:8" ht="15.6" x14ac:dyDescent="0.3">
      <c r="B105" s="589"/>
      <c r="C105" s="590" t="s">
        <v>482</v>
      </c>
      <c r="D105" s="590"/>
      <c r="E105" s="591"/>
      <c r="F105" s="449"/>
    </row>
    <row r="106" spans="1:8" ht="15.6" x14ac:dyDescent="0.3">
      <c r="B106" s="387">
        <v>43702</v>
      </c>
      <c r="C106" s="170" t="s">
        <v>493</v>
      </c>
      <c r="D106" s="170"/>
      <c r="E106" s="165"/>
      <c r="F106" s="210">
        <v>5000</v>
      </c>
      <c r="G106" t="s">
        <v>472</v>
      </c>
      <c r="H106" s="624" t="s">
        <v>499</v>
      </c>
    </row>
    <row r="107" spans="1:8" ht="15.6" x14ac:dyDescent="0.3">
      <c r="B107" s="387">
        <v>43773</v>
      </c>
      <c r="C107" s="170" t="s">
        <v>511</v>
      </c>
      <c r="D107" s="170"/>
      <c r="E107" s="165"/>
      <c r="F107" s="539">
        <v>-4000</v>
      </c>
      <c r="G107" s="425"/>
      <c r="H107" s="425" t="s">
        <v>494</v>
      </c>
    </row>
    <row r="108" spans="1:8" ht="15.6" x14ac:dyDescent="0.3">
      <c r="B108" s="387">
        <v>43773</v>
      </c>
      <c r="C108" s="170" t="s">
        <v>512</v>
      </c>
      <c r="D108" s="170"/>
      <c r="E108" s="165"/>
      <c r="F108" s="539">
        <v>-1000</v>
      </c>
      <c r="G108" s="425"/>
      <c r="H108" s="425" t="s">
        <v>495</v>
      </c>
    </row>
    <row r="109" spans="1:8" ht="15.6" x14ac:dyDescent="0.3">
      <c r="B109" s="387">
        <v>43780</v>
      </c>
      <c r="C109" s="170" t="s">
        <v>490</v>
      </c>
      <c r="D109" s="170"/>
      <c r="E109" s="165"/>
      <c r="F109" s="210">
        <v>2250</v>
      </c>
      <c r="H109" s="624" t="s">
        <v>376</v>
      </c>
    </row>
    <row r="110" spans="1:8" ht="16.2" thickBot="1" x14ac:dyDescent="0.35">
      <c r="B110" s="592"/>
      <c r="C110" s="593" t="s">
        <v>427</v>
      </c>
      <c r="D110" s="593"/>
      <c r="E110" s="594"/>
      <c r="F110" s="595">
        <v>2250</v>
      </c>
    </row>
    <row r="111" spans="1:8" ht="16.2" thickBot="1" x14ac:dyDescent="0.35">
      <c r="B111" s="98">
        <v>43830</v>
      </c>
      <c r="C111" s="92" t="s">
        <v>2</v>
      </c>
      <c r="D111" s="92"/>
      <c r="E111" s="509"/>
      <c r="F111" s="99">
        <v>1250</v>
      </c>
    </row>
    <row r="112" spans="1:8" ht="15.6" x14ac:dyDescent="0.3">
      <c r="B112" s="589"/>
      <c r="C112" s="590" t="s">
        <v>528</v>
      </c>
      <c r="D112" s="590"/>
      <c r="E112" s="591"/>
      <c r="F112" s="449"/>
    </row>
    <row r="113" spans="2:8" ht="15.6" x14ac:dyDescent="0.3">
      <c r="B113" s="387"/>
      <c r="C113" s="170"/>
      <c r="D113" s="170"/>
      <c r="E113" s="165"/>
      <c r="F113" s="210"/>
    </row>
    <row r="114" spans="2:8" ht="15.6" x14ac:dyDescent="0.3">
      <c r="B114" s="387"/>
      <c r="C114" s="170"/>
      <c r="D114" s="170"/>
      <c r="E114" s="165"/>
      <c r="F114" s="210"/>
    </row>
    <row r="115" spans="2:8" ht="15.6" x14ac:dyDescent="0.3">
      <c r="B115" s="671"/>
      <c r="C115" s="665" t="s">
        <v>533</v>
      </c>
      <c r="D115" s="665"/>
      <c r="E115" s="666"/>
      <c r="F115" s="672">
        <f>SUM(F112:F114)</f>
        <v>0</v>
      </c>
    </row>
    <row r="116" spans="2:8" ht="15.6" x14ac:dyDescent="0.3">
      <c r="B116" s="387"/>
      <c r="C116" s="170" t="s">
        <v>530</v>
      </c>
      <c r="D116" s="170"/>
      <c r="E116" s="165"/>
      <c r="F116" s="210"/>
    </row>
    <row r="117" spans="2:8" ht="15.6" x14ac:dyDescent="0.3">
      <c r="B117" s="387"/>
      <c r="C117" s="170"/>
      <c r="D117" s="170"/>
      <c r="E117" s="165"/>
      <c r="F117" s="210"/>
    </row>
    <row r="118" spans="2:8" ht="15.6" x14ac:dyDescent="0.3">
      <c r="B118" s="387"/>
      <c r="C118" s="170"/>
      <c r="D118" s="170"/>
      <c r="E118" s="165"/>
      <c r="F118" s="210"/>
    </row>
    <row r="119" spans="2:8" ht="15.6" x14ac:dyDescent="0.3">
      <c r="B119" s="671"/>
      <c r="C119" s="665" t="s">
        <v>532</v>
      </c>
      <c r="D119" s="665"/>
      <c r="E119" s="666"/>
      <c r="F119" s="672">
        <f>SUM(F116:F118)</f>
        <v>0</v>
      </c>
    </row>
    <row r="120" spans="2:8" ht="16.2" thickBot="1" x14ac:dyDescent="0.35">
      <c r="B120" s="98">
        <f>B2</f>
        <v>44196</v>
      </c>
      <c r="C120" s="92" t="s">
        <v>2</v>
      </c>
      <c r="D120" s="92"/>
      <c r="E120" s="509"/>
      <c r="F120" s="99">
        <f>F111+F115+F119</f>
        <v>1250</v>
      </c>
    </row>
    <row r="121" spans="2:8" ht="13.8" thickBot="1" x14ac:dyDescent="0.3"/>
    <row r="122" spans="2:8" ht="15.6" x14ac:dyDescent="0.3">
      <c r="B122" s="223" t="s">
        <v>93</v>
      </c>
      <c r="C122" s="182"/>
      <c r="D122" s="182"/>
      <c r="E122" s="393" t="s">
        <v>117</v>
      </c>
      <c r="F122" s="394"/>
    </row>
    <row r="123" spans="2:8" ht="15.6" x14ac:dyDescent="0.3">
      <c r="B123" s="105">
        <v>43100</v>
      </c>
      <c r="C123" s="227" t="s">
        <v>2</v>
      </c>
      <c r="D123" s="227"/>
      <c r="E123" s="227"/>
      <c r="F123" s="152">
        <v>48.66</v>
      </c>
      <c r="G123" s="504"/>
      <c r="H123" s="116"/>
    </row>
    <row r="124" spans="2:8" ht="15.6" x14ac:dyDescent="0.3">
      <c r="B124" s="377"/>
      <c r="C124" s="415" t="s">
        <v>362</v>
      </c>
      <c r="D124" s="415"/>
      <c r="E124" s="415"/>
      <c r="F124" s="172"/>
      <c r="G124" s="504"/>
    </row>
    <row r="125" spans="2:8" ht="15.6" x14ac:dyDescent="0.3">
      <c r="B125" s="377"/>
      <c r="C125" s="415" t="s">
        <v>364</v>
      </c>
      <c r="D125" s="415"/>
      <c r="E125" s="415"/>
      <c r="F125" s="172">
        <v>0</v>
      </c>
      <c r="G125" s="504"/>
    </row>
    <row r="126" spans="2:8" ht="15.6" x14ac:dyDescent="0.3">
      <c r="B126" s="377"/>
      <c r="C126" s="415" t="s">
        <v>363</v>
      </c>
      <c r="D126" s="415"/>
      <c r="E126" s="415"/>
      <c r="F126" s="172"/>
      <c r="G126" s="504"/>
    </row>
    <row r="127" spans="2:8" ht="16.2" thickBot="1" x14ac:dyDescent="0.35">
      <c r="B127" s="377"/>
      <c r="C127" s="415" t="s">
        <v>365</v>
      </c>
      <c r="D127" s="415"/>
      <c r="E127" s="415"/>
      <c r="F127" s="172">
        <v>0</v>
      </c>
      <c r="G127" s="504"/>
    </row>
    <row r="128" spans="2:8" ht="16.2" thickBot="1" x14ac:dyDescent="0.35">
      <c r="B128" s="511">
        <v>43465</v>
      </c>
      <c r="C128" s="512" t="s">
        <v>2</v>
      </c>
      <c r="D128" s="512"/>
      <c r="E128" s="512"/>
      <c r="F128" s="513">
        <v>48.66</v>
      </c>
      <c r="H128">
        <v>926</v>
      </c>
    </row>
    <row r="129" spans="2:11" ht="16.2" thickBot="1" x14ac:dyDescent="0.35">
      <c r="B129" s="592"/>
      <c r="C129" s="593" t="s">
        <v>425</v>
      </c>
      <c r="D129" s="593"/>
      <c r="E129" s="594"/>
      <c r="F129" s="595">
        <v>0</v>
      </c>
    </row>
    <row r="130" spans="2:11" ht="16.2" thickBot="1" x14ac:dyDescent="0.35">
      <c r="B130" s="592"/>
      <c r="C130" s="593" t="s">
        <v>427</v>
      </c>
      <c r="D130" s="593"/>
      <c r="E130" s="594"/>
      <c r="F130" s="595">
        <v>0</v>
      </c>
    </row>
    <row r="131" spans="2:11" ht="16.2" thickBot="1" x14ac:dyDescent="0.35">
      <c r="B131" s="98">
        <v>43830</v>
      </c>
      <c r="C131" s="92" t="s">
        <v>2</v>
      </c>
      <c r="D131" s="92"/>
      <c r="E131" s="509"/>
      <c r="F131" s="99">
        <v>48.66</v>
      </c>
    </row>
    <row r="132" spans="2:11" ht="16.2" thickBot="1" x14ac:dyDescent="0.35">
      <c r="B132" s="589"/>
      <c r="C132" s="590" t="s">
        <v>534</v>
      </c>
      <c r="D132" s="590"/>
      <c r="E132" s="591"/>
      <c r="F132" s="449"/>
    </row>
    <row r="133" spans="2:11" ht="16.2" thickBot="1" x14ac:dyDescent="0.35">
      <c r="B133" s="387">
        <v>44112</v>
      </c>
      <c r="C133" s="170" t="s">
        <v>562</v>
      </c>
      <c r="D133" s="170"/>
      <c r="E133" s="165"/>
      <c r="F133" s="210">
        <f>-48.66</f>
        <v>-48.66</v>
      </c>
      <c r="H133" s="726" t="s">
        <v>564</v>
      </c>
      <c r="I133" s="727"/>
    </row>
    <row r="134" spans="2:11" ht="15.6" x14ac:dyDescent="0.3">
      <c r="B134" s="671"/>
      <c r="C134" s="665" t="s">
        <v>529</v>
      </c>
      <c r="D134" s="665"/>
      <c r="E134" s="666"/>
      <c r="F134" s="672">
        <f>SUM(F132:F133)</f>
        <v>-48.66</v>
      </c>
    </row>
    <row r="135" spans="2:11" ht="15.6" x14ac:dyDescent="0.3">
      <c r="B135" s="671"/>
      <c r="C135" s="665"/>
      <c r="D135" s="665"/>
      <c r="E135" s="666"/>
      <c r="F135" s="672"/>
    </row>
    <row r="136" spans="2:11" ht="16.2" thickBot="1" x14ac:dyDescent="0.35">
      <c r="B136" s="98"/>
      <c r="C136" s="92" t="s">
        <v>2</v>
      </c>
      <c r="D136" s="92"/>
      <c r="E136" s="509"/>
      <c r="F136" s="99">
        <f>F131+F134+F135</f>
        <v>0</v>
      </c>
    </row>
    <row r="137" spans="2:11" ht="16.2" thickBot="1" x14ac:dyDescent="0.35">
      <c r="B137" s="673" t="str">
        <f>B122</f>
        <v>Oranje Fonds/NL doet</v>
      </c>
      <c r="C137" s="140"/>
      <c r="D137" s="147" t="s">
        <v>366</v>
      </c>
      <c r="E137" s="674" t="s">
        <v>563</v>
      </c>
      <c r="F137" s="675"/>
    </row>
    <row r="138" spans="2:11" ht="16.2" thickBot="1" x14ac:dyDescent="0.35">
      <c r="B138" s="9"/>
      <c r="C138" s="9"/>
      <c r="D138" s="9"/>
      <c r="E138" s="9"/>
      <c r="F138" s="10"/>
    </row>
    <row r="139" spans="2:11" ht="16.2" thickBot="1" x14ac:dyDescent="0.35">
      <c r="B139" s="673" t="s">
        <v>535</v>
      </c>
      <c r="C139" s="140"/>
      <c r="D139" s="147" t="s">
        <v>366</v>
      </c>
      <c r="E139" s="674" t="s">
        <v>423</v>
      </c>
      <c r="F139" s="675"/>
    </row>
    <row r="140" spans="2:11" x14ac:dyDescent="0.25">
      <c r="H140" s="348"/>
      <c r="I140" s="116"/>
      <c r="J140" s="116"/>
      <c r="K140" s="116"/>
    </row>
    <row r="141" spans="2:11" ht="16.2" thickBot="1" x14ac:dyDescent="0.35">
      <c r="B141" s="223" t="s">
        <v>122</v>
      </c>
      <c r="C141" s="182"/>
      <c r="D141" s="182"/>
      <c r="E141" s="397" t="s">
        <v>119</v>
      </c>
      <c r="F141" s="394"/>
      <c r="H141" s="348"/>
      <c r="I141" s="116"/>
      <c r="J141" s="116"/>
      <c r="K141" s="204"/>
    </row>
    <row r="142" spans="2:11" ht="16.2" thickBot="1" x14ac:dyDescent="0.35">
      <c r="B142" s="511">
        <v>43465</v>
      </c>
      <c r="C142" s="512" t="s">
        <v>2</v>
      </c>
      <c r="D142" s="512"/>
      <c r="E142" s="512"/>
      <c r="F142" s="513">
        <v>-3630.58</v>
      </c>
      <c r="G142" s="173"/>
      <c r="H142" s="116"/>
      <c r="K142" s="204"/>
    </row>
    <row r="143" spans="2:11" ht="15.6" x14ac:dyDescent="0.3">
      <c r="B143" s="589"/>
      <c r="C143" s="590" t="s">
        <v>424</v>
      </c>
      <c r="D143" s="590"/>
      <c r="E143" s="591"/>
      <c r="F143" s="449"/>
      <c r="I143" s="116">
        <v>-5000</v>
      </c>
      <c r="K143" s="204"/>
    </row>
    <row r="144" spans="2:11" ht="15.6" x14ac:dyDescent="0.3">
      <c r="B144" s="387">
        <v>43481</v>
      </c>
      <c r="C144" s="170" t="s">
        <v>429</v>
      </c>
      <c r="D144" s="170"/>
      <c r="E144" s="165"/>
      <c r="F144" s="210">
        <v>-1000</v>
      </c>
      <c r="H144" s="624" t="s">
        <v>431</v>
      </c>
      <c r="K144" s="204"/>
    </row>
    <row r="145" spans="2:11" ht="15.6" x14ac:dyDescent="0.3">
      <c r="B145" s="387">
        <v>43773</v>
      </c>
      <c r="C145" s="170" t="s">
        <v>503</v>
      </c>
      <c r="D145" s="170"/>
      <c r="E145" s="165"/>
      <c r="F145" s="210">
        <v>-369.42</v>
      </c>
      <c r="H145" s="626" t="s">
        <v>536</v>
      </c>
      <c r="I145" s="624"/>
      <c r="K145" s="204"/>
    </row>
    <row r="146" spans="2:11" ht="16.2" thickBot="1" x14ac:dyDescent="0.35">
      <c r="B146" s="592"/>
      <c r="C146" s="593" t="s">
        <v>425</v>
      </c>
      <c r="D146" s="593"/>
      <c r="E146" s="594"/>
      <c r="F146" s="595">
        <v>-1369.42</v>
      </c>
      <c r="K146" s="204"/>
    </row>
    <row r="147" spans="2:11" ht="15.6" x14ac:dyDescent="0.3">
      <c r="B147" s="589"/>
      <c r="C147" s="590" t="s">
        <v>483</v>
      </c>
      <c r="D147" s="590"/>
      <c r="E147" s="591"/>
      <c r="F147" s="449"/>
      <c r="K147" s="204"/>
    </row>
    <row r="148" spans="2:11" ht="15.6" x14ac:dyDescent="0.3">
      <c r="B148" s="387">
        <v>43481</v>
      </c>
      <c r="C148" s="170" t="s">
        <v>428</v>
      </c>
      <c r="D148" s="170"/>
      <c r="E148" s="165"/>
      <c r="F148" s="210">
        <v>1000</v>
      </c>
      <c r="H148" s="624" t="s">
        <v>430</v>
      </c>
      <c r="K148" s="204"/>
    </row>
    <row r="149" spans="2:11" ht="15.6" x14ac:dyDescent="0.3">
      <c r="B149" s="387">
        <v>43483</v>
      </c>
      <c r="C149" s="170" t="s">
        <v>432</v>
      </c>
      <c r="D149" s="170"/>
      <c r="E149" s="165"/>
      <c r="F149" s="210">
        <v>3000</v>
      </c>
      <c r="H149" s="624" t="s">
        <v>376</v>
      </c>
      <c r="K149" s="204"/>
    </row>
    <row r="150" spans="2:11" ht="15.6" x14ac:dyDescent="0.3">
      <c r="B150" s="387">
        <v>43772</v>
      </c>
      <c r="C150" s="170" t="s">
        <v>468</v>
      </c>
      <c r="D150" s="170"/>
      <c r="E150" s="165"/>
      <c r="F150" s="625">
        <v>1000</v>
      </c>
      <c r="H150" s="624" t="s">
        <v>487</v>
      </c>
      <c r="K150" s="204"/>
    </row>
    <row r="151" spans="2:11" ht="16.2" thickBot="1" x14ac:dyDescent="0.35">
      <c r="B151" s="592"/>
      <c r="C151" s="593" t="s">
        <v>427</v>
      </c>
      <c r="D151" s="593"/>
      <c r="E151" s="594"/>
      <c r="F151" s="595">
        <v>5000</v>
      </c>
      <c r="K151" s="204"/>
    </row>
    <row r="152" spans="2:11" ht="16.2" thickBot="1" x14ac:dyDescent="0.35">
      <c r="B152" s="98">
        <v>43830</v>
      </c>
      <c r="C152" s="92" t="s">
        <v>2</v>
      </c>
      <c r="D152" s="92"/>
      <c r="E152" s="509"/>
      <c r="F152" s="99">
        <v>0</v>
      </c>
      <c r="K152" s="204"/>
    </row>
    <row r="153" spans="2:11" ht="16.2" thickBot="1" x14ac:dyDescent="0.35">
      <c r="B153" s="676"/>
      <c r="C153" s="674" t="s">
        <v>537</v>
      </c>
      <c r="D153" s="674"/>
      <c r="E153" s="677"/>
      <c r="F153" s="678"/>
      <c r="K153" s="204"/>
    </row>
    <row r="154" spans="2:11" ht="16.2" thickBot="1" x14ac:dyDescent="0.35">
      <c r="B154" s="13"/>
      <c r="C154" s="203"/>
      <c r="D154" s="203"/>
      <c r="E154" s="202"/>
      <c r="F154" s="202"/>
      <c r="K154" s="204"/>
    </row>
    <row r="155" spans="2:11" ht="16.2" thickBot="1" x14ac:dyDescent="0.35">
      <c r="B155" s="223" t="s">
        <v>226</v>
      </c>
      <c r="C155" s="182"/>
      <c r="D155" s="182"/>
      <c r="E155" s="397" t="s">
        <v>141</v>
      </c>
      <c r="F155" s="394"/>
      <c r="K155" s="204"/>
    </row>
    <row r="156" spans="2:11" ht="16.2" thickBot="1" x14ac:dyDescent="0.35">
      <c r="B156" s="511">
        <v>43465</v>
      </c>
      <c r="C156" s="512" t="s">
        <v>2</v>
      </c>
      <c r="D156" s="512"/>
      <c r="E156" s="512"/>
      <c r="F156" s="513">
        <v>926</v>
      </c>
      <c r="G156" s="504"/>
      <c r="J156" s="116"/>
    </row>
    <row r="157" spans="2:11" ht="16.2" thickBot="1" x14ac:dyDescent="0.35">
      <c r="B157" s="592"/>
      <c r="C157" s="593" t="s">
        <v>425</v>
      </c>
      <c r="D157" s="593"/>
      <c r="E157" s="594"/>
      <c r="F157" s="595">
        <v>0</v>
      </c>
    </row>
    <row r="158" spans="2:11" ht="15.6" x14ac:dyDescent="0.3">
      <c r="B158" s="589"/>
      <c r="C158" s="590" t="s">
        <v>485</v>
      </c>
      <c r="D158" s="590"/>
      <c r="E158" s="591"/>
      <c r="F158" s="449"/>
      <c r="J158" s="116"/>
    </row>
    <row r="159" spans="2:11" ht="15.6" x14ac:dyDescent="0.3">
      <c r="B159" s="387">
        <v>43634</v>
      </c>
      <c r="C159" s="170" t="s">
        <v>469</v>
      </c>
      <c r="D159" s="170"/>
      <c r="E159" s="165"/>
      <c r="F159" s="210">
        <v>100</v>
      </c>
      <c r="G159" t="s">
        <v>472</v>
      </c>
      <c r="H159" s="624" t="s">
        <v>457</v>
      </c>
    </row>
    <row r="160" spans="2:11" ht="15.6" x14ac:dyDescent="0.3">
      <c r="B160" s="387">
        <v>43617</v>
      </c>
      <c r="C160" s="170" t="s">
        <v>470</v>
      </c>
      <c r="D160" s="170"/>
      <c r="E160" s="165"/>
      <c r="F160" s="210">
        <v>1000</v>
      </c>
      <c r="G160" t="s">
        <v>472</v>
      </c>
      <c r="H160" s="624" t="s">
        <v>457</v>
      </c>
    </row>
    <row r="161" spans="2:8" ht="16.2" thickBot="1" x14ac:dyDescent="0.35">
      <c r="B161" s="592"/>
      <c r="C161" s="593" t="s">
        <v>427</v>
      </c>
      <c r="D161" s="593"/>
      <c r="E161" s="594"/>
      <c r="F161" s="595">
        <v>1100</v>
      </c>
    </row>
    <row r="162" spans="2:8" ht="16.2" thickBot="1" x14ac:dyDescent="0.35">
      <c r="B162" s="98">
        <v>43830</v>
      </c>
      <c r="C162" s="92" t="s">
        <v>2</v>
      </c>
      <c r="D162" s="92"/>
      <c r="E162" s="509"/>
      <c r="F162" s="99">
        <v>2026</v>
      </c>
    </row>
    <row r="163" spans="2:8" ht="15.6" x14ac:dyDescent="0.3">
      <c r="B163" s="589"/>
      <c r="C163" s="590" t="s">
        <v>528</v>
      </c>
      <c r="D163" s="590"/>
      <c r="E163" s="591"/>
      <c r="F163" s="449"/>
    </row>
    <row r="164" spans="2:8" ht="15.6" x14ac:dyDescent="0.3">
      <c r="B164" s="387"/>
      <c r="C164" s="170"/>
      <c r="D164" s="170"/>
      <c r="E164" s="165"/>
      <c r="F164" s="210"/>
    </row>
    <row r="165" spans="2:8" ht="15.6" x14ac:dyDescent="0.3">
      <c r="B165" s="671"/>
      <c r="C165" s="665" t="s">
        <v>529</v>
      </c>
      <c r="D165" s="665"/>
      <c r="E165" s="666"/>
      <c r="F165" s="672">
        <f>SUM(F163:F164)</f>
        <v>0</v>
      </c>
    </row>
    <row r="166" spans="2:8" ht="15.6" x14ac:dyDescent="0.3">
      <c r="B166" s="387"/>
      <c r="C166" s="170" t="s">
        <v>530</v>
      </c>
      <c r="D166" s="170"/>
      <c r="E166" s="165"/>
      <c r="F166" s="210"/>
    </row>
    <row r="167" spans="2:8" ht="15.6" x14ac:dyDescent="0.3">
      <c r="B167" s="387">
        <v>44161</v>
      </c>
      <c r="C167" s="170" t="s">
        <v>577</v>
      </c>
      <c r="D167" s="170"/>
      <c r="E167" s="165"/>
      <c r="F167" s="210">
        <v>248.85</v>
      </c>
    </row>
    <row r="168" spans="2:8" ht="15.6" x14ac:dyDescent="0.3">
      <c r="B168" s="671"/>
      <c r="C168" s="665" t="s">
        <v>532</v>
      </c>
      <c r="D168" s="665"/>
      <c r="E168" s="666"/>
      <c r="F168" s="672">
        <f>SUM(F166:F167)</f>
        <v>248.85</v>
      </c>
    </row>
    <row r="169" spans="2:8" ht="16.2" thickBot="1" x14ac:dyDescent="0.35">
      <c r="B169" s="98">
        <f>B2</f>
        <v>44196</v>
      </c>
      <c r="C169" s="92" t="s">
        <v>2</v>
      </c>
      <c r="D169" s="92"/>
      <c r="E169" s="509"/>
      <c r="F169" s="99">
        <f>F162+F165+F168</f>
        <v>2274.85</v>
      </c>
    </row>
    <row r="170" spans="2:8" ht="13.8" thickBot="1" x14ac:dyDescent="0.3"/>
    <row r="171" spans="2:8" ht="15.6" x14ac:dyDescent="0.3">
      <c r="B171" s="589"/>
      <c r="C171" s="590" t="s">
        <v>426</v>
      </c>
      <c r="D171" s="590"/>
      <c r="E171" s="620" t="s">
        <v>486</v>
      </c>
      <c r="F171" s="449"/>
    </row>
    <row r="172" spans="2:8" ht="15.6" x14ac:dyDescent="0.3">
      <c r="B172" s="387">
        <v>43727</v>
      </c>
      <c r="C172" s="170" t="s">
        <v>475</v>
      </c>
      <c r="D172" s="170"/>
      <c r="E172" s="165"/>
      <c r="F172" s="210">
        <v>0.97</v>
      </c>
      <c r="H172" s="624" t="s">
        <v>457</v>
      </c>
    </row>
    <row r="173" spans="2:8" ht="15.6" x14ac:dyDescent="0.3">
      <c r="B173" s="387">
        <v>43731</v>
      </c>
      <c r="C173" s="170" t="s">
        <v>475</v>
      </c>
      <c r="D173" s="170"/>
      <c r="E173" s="165"/>
      <c r="F173" s="210">
        <v>0.97</v>
      </c>
      <c r="H173" s="624" t="s">
        <v>457</v>
      </c>
    </row>
    <row r="174" spans="2:8" ht="15.6" x14ac:dyDescent="0.3">
      <c r="B174" s="387">
        <v>43761</v>
      </c>
      <c r="C174" s="170" t="s">
        <v>475</v>
      </c>
      <c r="D174" s="170"/>
      <c r="E174" s="165"/>
      <c r="F174" s="210">
        <v>10.69</v>
      </c>
      <c r="H174" s="624" t="s">
        <v>457</v>
      </c>
    </row>
    <row r="175" spans="2:8" ht="15.6" x14ac:dyDescent="0.3">
      <c r="B175" s="387">
        <v>43762</v>
      </c>
      <c r="C175" s="170" t="s">
        <v>475</v>
      </c>
      <c r="D175" s="170"/>
      <c r="E175" s="165"/>
      <c r="F175" s="210">
        <v>43.74</v>
      </c>
      <c r="H175" s="624" t="s">
        <v>457</v>
      </c>
    </row>
    <row r="176" spans="2:8" ht="15.6" x14ac:dyDescent="0.3">
      <c r="B176" s="387">
        <v>43766</v>
      </c>
      <c r="C176" s="170" t="s">
        <v>475</v>
      </c>
      <c r="D176" s="170"/>
      <c r="E176" s="165"/>
      <c r="F176" s="210">
        <v>18.48</v>
      </c>
      <c r="H176" s="624" t="s">
        <v>457</v>
      </c>
    </row>
    <row r="177" spans="2:8" ht="15.6" x14ac:dyDescent="0.3">
      <c r="B177" s="387">
        <v>43768</v>
      </c>
      <c r="C177" s="170" t="s">
        <v>475</v>
      </c>
      <c r="D177" s="170"/>
      <c r="E177" s="165"/>
      <c r="F177" s="210">
        <v>155.6</v>
      </c>
      <c r="H177" s="624" t="s">
        <v>457</v>
      </c>
    </row>
    <row r="178" spans="2:8" ht="15.6" x14ac:dyDescent="0.3">
      <c r="B178" s="387">
        <v>43811</v>
      </c>
      <c r="C178" s="170" t="s">
        <v>546</v>
      </c>
      <c r="D178" s="170"/>
      <c r="E178" s="165"/>
      <c r="F178" s="210">
        <v>48.61</v>
      </c>
      <c r="H178" s="624" t="s">
        <v>457</v>
      </c>
    </row>
    <row r="179" spans="2:8" ht="16.2" thickBot="1" x14ac:dyDescent="0.35">
      <c r="B179" s="592"/>
      <c r="C179" s="593" t="s">
        <v>427</v>
      </c>
      <c r="D179" s="593"/>
      <c r="E179" s="594"/>
      <c r="F179" s="595">
        <v>279.06</v>
      </c>
    </row>
    <row r="180" spans="2:8" ht="15.6" x14ac:dyDescent="0.3">
      <c r="B180" s="589"/>
      <c r="C180" s="590" t="s">
        <v>424</v>
      </c>
      <c r="D180" s="590"/>
      <c r="E180" s="591"/>
      <c r="F180" s="449"/>
    </row>
    <row r="181" spans="2:8" ht="15.6" x14ac:dyDescent="0.3">
      <c r="B181" s="387">
        <v>43770</v>
      </c>
      <c r="C181" s="170" t="s">
        <v>478</v>
      </c>
      <c r="D181" s="170"/>
      <c r="E181" s="165"/>
      <c r="F181" s="210">
        <v>-230.45</v>
      </c>
      <c r="H181" s="624" t="s">
        <v>457</v>
      </c>
    </row>
    <row r="182" spans="2:8" ht="15.6" x14ac:dyDescent="0.3">
      <c r="B182" s="387">
        <v>43811</v>
      </c>
      <c r="C182" s="170" t="s">
        <v>478</v>
      </c>
      <c r="D182" s="170"/>
      <c r="E182" s="165"/>
      <c r="F182" s="210">
        <v>-48.61</v>
      </c>
      <c r="H182" s="624" t="s">
        <v>457</v>
      </c>
    </row>
    <row r="183" spans="2:8" ht="16.2" thickBot="1" x14ac:dyDescent="0.35">
      <c r="B183" s="592"/>
      <c r="C183" s="593" t="s">
        <v>479</v>
      </c>
      <c r="D183" s="593"/>
      <c r="E183" s="594"/>
      <c r="F183" s="595">
        <v>-279.06</v>
      </c>
    </row>
    <row r="184" spans="2:8" ht="16.2" thickBot="1" x14ac:dyDescent="0.35">
      <c r="B184" s="98"/>
      <c r="C184" s="92" t="s">
        <v>480</v>
      </c>
      <c r="D184" s="618">
        <v>43830</v>
      </c>
      <c r="E184" s="509"/>
      <c r="F184" s="99">
        <v>0</v>
      </c>
    </row>
    <row r="185" spans="2:8" ht="15.6" x14ac:dyDescent="0.3">
      <c r="B185" s="589"/>
      <c r="C185" s="590" t="s">
        <v>530</v>
      </c>
      <c r="D185" s="679"/>
      <c r="E185" s="591"/>
      <c r="F185" s="449"/>
    </row>
    <row r="186" spans="2:8" ht="15.6" x14ac:dyDescent="0.3">
      <c r="B186" s="387">
        <v>44040</v>
      </c>
      <c r="C186" s="170" t="s">
        <v>475</v>
      </c>
      <c r="D186" s="228"/>
      <c r="E186" s="165"/>
      <c r="F186" s="210">
        <v>46.19</v>
      </c>
      <c r="H186" s="624" t="s">
        <v>457</v>
      </c>
    </row>
    <row r="187" spans="2:8" ht="15.6" x14ac:dyDescent="0.3">
      <c r="B187" s="387" t="s">
        <v>550</v>
      </c>
      <c r="C187" s="170" t="s">
        <v>475</v>
      </c>
      <c r="D187" s="228"/>
      <c r="E187" s="165"/>
      <c r="F187" s="210">
        <v>155.6</v>
      </c>
      <c r="H187" s="624" t="s">
        <v>457</v>
      </c>
    </row>
    <row r="188" spans="2:8" ht="15.6" x14ac:dyDescent="0.3">
      <c r="B188" s="387">
        <v>44105</v>
      </c>
      <c r="C188" s="170" t="s">
        <v>475</v>
      </c>
      <c r="D188" s="228"/>
      <c r="E188" s="165"/>
      <c r="F188" s="210">
        <v>58.35</v>
      </c>
      <c r="H188" s="624" t="s">
        <v>457</v>
      </c>
    </row>
    <row r="189" spans="2:8" ht="15.6" x14ac:dyDescent="0.3">
      <c r="B189" s="387">
        <v>44114</v>
      </c>
      <c r="C189" s="170" t="s">
        <v>576</v>
      </c>
      <c r="D189" s="228"/>
      <c r="E189" s="165"/>
      <c r="F189" s="210">
        <v>19.45</v>
      </c>
      <c r="H189" s="624" t="s">
        <v>457</v>
      </c>
    </row>
    <row r="190" spans="2:8" ht="15.6" x14ac:dyDescent="0.3">
      <c r="B190" s="671"/>
      <c r="C190" s="665" t="s">
        <v>532</v>
      </c>
      <c r="D190" s="664"/>
      <c r="E190" s="666"/>
      <c r="F190" s="672">
        <f>SUM(F185:F189)</f>
        <v>279.58999999999997</v>
      </c>
    </row>
    <row r="191" spans="2:8" ht="15.6" x14ac:dyDescent="0.3">
      <c r="B191" s="387"/>
      <c r="C191" s="170" t="s">
        <v>528</v>
      </c>
      <c r="D191" s="228"/>
      <c r="E191" s="165"/>
      <c r="F191" s="210"/>
    </row>
    <row r="192" spans="2:8" ht="15.6" x14ac:dyDescent="0.3">
      <c r="B192" s="387">
        <v>44109</v>
      </c>
      <c r="C192" s="170" t="s">
        <v>478</v>
      </c>
      <c r="D192" s="228"/>
      <c r="E192" s="165"/>
      <c r="F192" s="210">
        <v>-260.14</v>
      </c>
      <c r="H192" s="624" t="s">
        <v>457</v>
      </c>
    </row>
    <row r="193" spans="2:8" ht="15.6" x14ac:dyDescent="0.3">
      <c r="B193" s="387">
        <v>44124</v>
      </c>
      <c r="C193" s="170" t="s">
        <v>575</v>
      </c>
      <c r="D193" s="228"/>
      <c r="E193" s="165"/>
      <c r="F193" s="210">
        <v>-19.95</v>
      </c>
      <c r="H193" s="624" t="s">
        <v>457</v>
      </c>
    </row>
    <row r="194" spans="2:8" ht="15.6" x14ac:dyDescent="0.3">
      <c r="B194" s="387"/>
      <c r="C194" s="170"/>
      <c r="D194" s="228"/>
      <c r="E194" s="165"/>
      <c r="F194" s="210"/>
    </row>
    <row r="195" spans="2:8" ht="15.6" x14ac:dyDescent="0.3">
      <c r="B195" s="671"/>
      <c r="C195" s="665" t="s">
        <v>533</v>
      </c>
      <c r="D195" s="665"/>
      <c r="E195" s="666"/>
      <c r="F195" s="672">
        <f>SUM(F191:F194)</f>
        <v>-280.08999999999997</v>
      </c>
    </row>
    <row r="196" spans="2:8" ht="16.2" thickBot="1" x14ac:dyDescent="0.35">
      <c r="B196" s="98">
        <f>B2</f>
        <v>44196</v>
      </c>
      <c r="C196" s="92" t="s">
        <v>2</v>
      </c>
      <c r="D196" s="92"/>
      <c r="E196" s="509"/>
      <c r="F196" s="99">
        <f>F184+F190+F195</f>
        <v>-0.5</v>
      </c>
    </row>
    <row r="197" spans="2:8" ht="16.2" thickBot="1" x14ac:dyDescent="0.35">
      <c r="B197" s="417"/>
      <c r="C197" s="8"/>
      <c r="D197" s="8"/>
      <c r="E197" s="12"/>
      <c r="F197" s="202"/>
    </row>
    <row r="198" spans="2:8" ht="16.2" thickBot="1" x14ac:dyDescent="0.35">
      <c r="B198" s="223" t="s">
        <v>566</v>
      </c>
      <c r="C198" s="182"/>
      <c r="D198" s="182"/>
      <c r="E198" s="397" t="s">
        <v>243</v>
      </c>
      <c r="F198" s="394"/>
    </row>
    <row r="199" spans="2:8" ht="16.2" thickBot="1" x14ac:dyDescent="0.35">
      <c r="B199" s="515">
        <v>43830</v>
      </c>
      <c r="C199" s="64"/>
      <c r="D199" s="64"/>
      <c r="E199" s="201"/>
      <c r="F199" s="513">
        <v>704.3300000000072</v>
      </c>
    </row>
    <row r="200" spans="2:8" ht="15.6" x14ac:dyDescent="0.3">
      <c r="B200" s="105">
        <v>44109</v>
      </c>
      <c r="C200" s="227" t="s">
        <v>552</v>
      </c>
      <c r="D200" s="114"/>
      <c r="E200" s="227"/>
      <c r="F200" s="152">
        <v>704.33000000000902</v>
      </c>
    </row>
    <row r="201" spans="2:8" ht="15.6" x14ac:dyDescent="0.3">
      <c r="B201" s="729"/>
      <c r="C201" s="730" t="s">
        <v>567</v>
      </c>
      <c r="D201" s="664"/>
      <c r="E201" s="730"/>
      <c r="F201" s="672"/>
    </row>
    <row r="202" spans="2:8" ht="15.6" x14ac:dyDescent="0.3">
      <c r="B202" s="359">
        <v>44112</v>
      </c>
      <c r="C202" s="211" t="s">
        <v>555</v>
      </c>
      <c r="D202" s="228"/>
      <c r="E202" s="211" t="s">
        <v>556</v>
      </c>
      <c r="F202" s="210">
        <f>0.02</f>
        <v>0.02</v>
      </c>
    </row>
    <row r="203" spans="2:8" ht="15.6" x14ac:dyDescent="0.3">
      <c r="B203" s="359">
        <v>44112</v>
      </c>
      <c r="C203" s="211" t="s">
        <v>560</v>
      </c>
      <c r="D203" s="228"/>
      <c r="E203" s="211" t="s">
        <v>557</v>
      </c>
      <c r="F203" s="210">
        <f>-F30</f>
        <v>235.51</v>
      </c>
    </row>
    <row r="204" spans="2:8" ht="15.6" x14ac:dyDescent="0.3">
      <c r="B204" s="359">
        <v>44112</v>
      </c>
      <c r="C204" s="211" t="s">
        <v>572</v>
      </c>
      <c r="D204" s="228"/>
      <c r="E204" s="211" t="s">
        <v>571</v>
      </c>
      <c r="F204" s="210">
        <v>31.44</v>
      </c>
    </row>
    <row r="205" spans="2:8" ht="15.6" x14ac:dyDescent="0.3">
      <c r="B205" s="359">
        <v>44112</v>
      </c>
      <c r="C205" s="211" t="s">
        <v>561</v>
      </c>
      <c r="D205" s="228"/>
      <c r="E205" s="211" t="s">
        <v>558</v>
      </c>
      <c r="F205" s="210">
        <f>-F134</f>
        <v>48.66</v>
      </c>
    </row>
    <row r="206" spans="2:8" ht="15.6" x14ac:dyDescent="0.3">
      <c r="B206" s="359"/>
      <c r="C206" s="211"/>
      <c r="D206" s="228"/>
      <c r="E206" s="217"/>
      <c r="F206" s="210"/>
    </row>
    <row r="207" spans="2:8" ht="15.6" x14ac:dyDescent="0.3">
      <c r="B207" s="729"/>
      <c r="C207" s="730" t="s">
        <v>568</v>
      </c>
      <c r="D207" s="664"/>
      <c r="E207" s="731"/>
      <c r="F207" s="672">
        <f>SUM(F202:F206)</f>
        <v>315.63</v>
      </c>
    </row>
    <row r="208" spans="2:8" ht="15.6" x14ac:dyDescent="0.3">
      <c r="B208" s="359"/>
      <c r="C208" s="211" t="s">
        <v>581</v>
      </c>
      <c r="D208" s="228"/>
      <c r="E208" s="217"/>
      <c r="F208" s="210">
        <v>-0.5</v>
      </c>
    </row>
    <row r="209" spans="2:6" ht="15.6" x14ac:dyDescent="0.3">
      <c r="B209" s="729"/>
      <c r="C209" s="730" t="s">
        <v>569</v>
      </c>
      <c r="D209" s="664"/>
      <c r="E209" s="731"/>
      <c r="F209" s="672">
        <f>F208</f>
        <v>-0.5</v>
      </c>
    </row>
    <row r="210" spans="2:6" ht="15.6" x14ac:dyDescent="0.3">
      <c r="B210" s="359"/>
      <c r="C210" s="211"/>
      <c r="D210" s="228"/>
      <c r="E210" s="217"/>
      <c r="F210" s="210"/>
    </row>
    <row r="211" spans="2:6" ht="16.2" thickBot="1" x14ac:dyDescent="0.35">
      <c r="B211" s="732">
        <v>44113</v>
      </c>
      <c r="C211" s="733" t="s">
        <v>566</v>
      </c>
      <c r="D211" s="618"/>
      <c r="E211" s="734"/>
      <c r="F211" s="99">
        <f>F200+F207-F209</f>
        <v>1020.460000000009</v>
      </c>
    </row>
  </sheetData>
  <pageMargins left="0.7" right="0.7" top="0.75" bottom="0.75" header="0.3" footer="0.3"/>
  <pageSetup paperSize="9" scale="60" fitToHeight="0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K53"/>
  <sheetViews>
    <sheetView topLeftCell="B33" workbookViewId="0">
      <selection activeCell="G50" sqref="G50"/>
    </sheetView>
  </sheetViews>
  <sheetFormatPr defaultRowHeight="13.2" x14ac:dyDescent="0.25"/>
  <cols>
    <col min="2" max="2" width="14.6640625" customWidth="1"/>
    <col min="3" max="3" width="14.88671875" customWidth="1"/>
    <col min="4" max="4" width="11.88671875" customWidth="1"/>
    <col min="5" max="5" width="13.44140625" customWidth="1"/>
    <col min="6" max="7" width="17.6640625" customWidth="1"/>
    <col min="8" max="8" width="3.88671875" customWidth="1"/>
    <col min="9" max="9" width="17.109375" customWidth="1"/>
    <col min="10" max="10" width="18.5546875" customWidth="1"/>
  </cols>
  <sheetData>
    <row r="2" spans="3:10" ht="13.8" thickBot="1" x14ac:dyDescent="0.3"/>
    <row r="3" spans="3:10" ht="15.6" x14ac:dyDescent="0.3">
      <c r="C3" s="702"/>
      <c r="D3" s="31"/>
      <c r="E3" s="31"/>
      <c r="F3" s="75"/>
      <c r="G3" s="703"/>
      <c r="J3" s="193"/>
    </row>
    <row r="4" spans="3:10" ht="13.8" thickBot="1" x14ac:dyDescent="0.3">
      <c r="C4" s="704" t="s">
        <v>131</v>
      </c>
      <c r="D4" s="705"/>
      <c r="E4" s="705"/>
      <c r="F4" s="705"/>
      <c r="G4" s="706"/>
      <c r="J4" s="116"/>
    </row>
    <row r="5" spans="3:10" ht="15.6" x14ac:dyDescent="0.3">
      <c r="C5" s="389" t="s">
        <v>83</v>
      </c>
      <c r="D5" s="371"/>
      <c r="E5" s="155"/>
      <c r="F5" s="372" t="s">
        <v>115</v>
      </c>
      <c r="G5" s="177"/>
      <c r="J5" s="116"/>
    </row>
    <row r="6" spans="3:10" ht="15.6" x14ac:dyDescent="0.3">
      <c r="C6" s="400">
        <v>43100</v>
      </c>
      <c r="D6" s="211" t="s">
        <v>422</v>
      </c>
      <c r="E6" s="211"/>
      <c r="F6" s="211"/>
      <c r="G6" s="210">
        <v>7537.84</v>
      </c>
      <c r="J6" s="116"/>
    </row>
    <row r="7" spans="3:10" ht="16.2" thickBot="1" x14ac:dyDescent="0.35">
      <c r="C7" s="592"/>
      <c r="D7" s="593" t="s">
        <v>425</v>
      </c>
      <c r="E7" s="593"/>
      <c r="F7" s="594"/>
      <c r="G7" s="595"/>
    </row>
    <row r="8" spans="3:10" ht="15.6" x14ac:dyDescent="0.3">
      <c r="C8" s="589"/>
      <c r="D8" s="590" t="s">
        <v>481</v>
      </c>
      <c r="E8" s="590"/>
      <c r="F8" s="591"/>
      <c r="G8" s="449"/>
    </row>
    <row r="9" spans="3:10" ht="15.6" x14ac:dyDescent="0.3">
      <c r="C9" s="387">
        <v>43466</v>
      </c>
      <c r="D9" s="211" t="s">
        <v>59</v>
      </c>
      <c r="E9" s="170"/>
      <c r="F9" s="165"/>
      <c r="G9" s="210">
        <v>0.65</v>
      </c>
      <c r="I9" s="624" t="s">
        <v>376</v>
      </c>
    </row>
    <row r="10" spans="3:10" ht="15.6" x14ac:dyDescent="0.3">
      <c r="C10" s="387">
        <v>43500</v>
      </c>
      <c r="D10" s="170" t="s">
        <v>464</v>
      </c>
      <c r="E10" s="170"/>
      <c r="F10" s="165"/>
      <c r="G10" s="210">
        <v>1250</v>
      </c>
      <c r="I10" s="624" t="s">
        <v>376</v>
      </c>
      <c r="J10" s="422"/>
    </row>
    <row r="11" spans="3:10" ht="15.6" x14ac:dyDescent="0.3">
      <c r="C11" s="387">
        <v>43501</v>
      </c>
      <c r="D11" s="170" t="s">
        <v>164</v>
      </c>
      <c r="E11" s="170"/>
      <c r="F11" s="165"/>
      <c r="G11" s="210">
        <v>10</v>
      </c>
      <c r="I11" s="624" t="s">
        <v>376</v>
      </c>
      <c r="J11" s="116"/>
    </row>
    <row r="12" spans="3:10" ht="15.6" x14ac:dyDescent="0.3">
      <c r="C12" s="387">
        <v>43523</v>
      </c>
      <c r="D12" s="170" t="s">
        <v>463</v>
      </c>
      <c r="E12" s="170"/>
      <c r="F12" s="165"/>
      <c r="G12" s="210">
        <v>2500</v>
      </c>
      <c r="I12" s="624" t="s">
        <v>376</v>
      </c>
    </row>
    <row r="13" spans="3:10" ht="15.6" x14ac:dyDescent="0.3">
      <c r="C13" s="387">
        <v>43537</v>
      </c>
      <c r="D13" s="170" t="s">
        <v>461</v>
      </c>
      <c r="E13" s="170"/>
      <c r="F13" s="165"/>
      <c r="G13" s="210">
        <v>1000</v>
      </c>
      <c r="I13" s="624" t="s">
        <v>376</v>
      </c>
      <c r="J13" s="116"/>
    </row>
    <row r="14" spans="3:10" ht="15.6" x14ac:dyDescent="0.3">
      <c r="C14" s="387">
        <v>43552</v>
      </c>
      <c r="D14" s="170" t="s">
        <v>462</v>
      </c>
      <c r="E14" s="170"/>
      <c r="F14" s="165"/>
      <c r="G14" s="210">
        <v>3500</v>
      </c>
      <c r="I14" s="624" t="s">
        <v>488</v>
      </c>
      <c r="J14" s="116"/>
    </row>
    <row r="15" spans="3:10" ht="15.6" x14ac:dyDescent="0.3">
      <c r="C15" s="387">
        <v>43773</v>
      </c>
      <c r="D15" s="170" t="s">
        <v>489</v>
      </c>
      <c r="E15" s="170"/>
      <c r="F15" s="165"/>
      <c r="G15" s="539">
        <v>-1000</v>
      </c>
      <c r="I15" s="624" t="s">
        <v>491</v>
      </c>
      <c r="J15" s="615"/>
    </row>
    <row r="16" spans="3:10" ht="15.6" x14ac:dyDescent="0.3">
      <c r="C16" s="387">
        <v>43552</v>
      </c>
      <c r="D16" s="170" t="s">
        <v>465</v>
      </c>
      <c r="E16" s="170"/>
      <c r="F16" s="165"/>
      <c r="G16" s="210">
        <v>3000</v>
      </c>
      <c r="I16" s="624" t="s">
        <v>376</v>
      </c>
      <c r="J16" s="116"/>
    </row>
    <row r="17" spans="2:10" ht="15.6" x14ac:dyDescent="0.3">
      <c r="C17" s="387">
        <v>43605</v>
      </c>
      <c r="D17" s="170" t="s">
        <v>466</v>
      </c>
      <c r="E17" s="170"/>
      <c r="F17" s="165"/>
      <c r="G17" s="210">
        <v>2250</v>
      </c>
      <c r="I17" s="624" t="s">
        <v>376</v>
      </c>
      <c r="J17" s="116"/>
    </row>
    <row r="18" spans="2:10" ht="15.6" x14ac:dyDescent="0.3">
      <c r="C18" s="387">
        <v>43738</v>
      </c>
      <c r="D18" s="170" t="s">
        <v>492</v>
      </c>
      <c r="E18" s="170"/>
      <c r="F18" s="165"/>
      <c r="G18" s="210">
        <v>4000</v>
      </c>
      <c r="I18" s="624" t="s">
        <v>376</v>
      </c>
      <c r="J18" s="116"/>
    </row>
    <row r="19" spans="2:10" ht="15.6" x14ac:dyDescent="0.3">
      <c r="C19" s="387">
        <v>43773</v>
      </c>
      <c r="D19" s="170" t="s">
        <v>497</v>
      </c>
      <c r="E19" s="170"/>
      <c r="F19" s="165"/>
      <c r="G19" s="210">
        <v>4000</v>
      </c>
      <c r="I19" s="626" t="s">
        <v>513</v>
      </c>
      <c r="J19" s="116"/>
    </row>
    <row r="20" spans="2:10" ht="15.6" x14ac:dyDescent="0.3">
      <c r="C20" s="387">
        <v>43773</v>
      </c>
      <c r="D20" s="170" t="s">
        <v>496</v>
      </c>
      <c r="E20" s="170"/>
      <c r="F20" s="165"/>
      <c r="G20" s="210">
        <v>1000</v>
      </c>
      <c r="I20" s="624" t="s">
        <v>498</v>
      </c>
      <c r="J20" s="116"/>
    </row>
    <row r="21" spans="2:10" ht="16.2" thickBot="1" x14ac:dyDescent="0.35">
      <c r="C21" s="592"/>
      <c r="D21" s="593" t="s">
        <v>427</v>
      </c>
      <c r="E21" s="593"/>
      <c r="F21" s="594"/>
      <c r="G21" s="595">
        <v>21510.65</v>
      </c>
    </row>
    <row r="22" spans="2:10" ht="16.2" thickBot="1" x14ac:dyDescent="0.35">
      <c r="C22" s="667">
        <v>43830</v>
      </c>
      <c r="D22" s="668" t="s">
        <v>2</v>
      </c>
      <c r="E22" s="668"/>
      <c r="F22" s="669"/>
      <c r="G22" s="670">
        <v>23863.16</v>
      </c>
    </row>
    <row r="23" spans="2:10" ht="15.6" x14ac:dyDescent="0.3">
      <c r="C23" s="387"/>
      <c r="D23" s="170" t="s">
        <v>528</v>
      </c>
      <c r="E23" s="170"/>
      <c r="F23" s="165"/>
      <c r="G23" s="210"/>
    </row>
    <row r="24" spans="2:10" ht="15.6" x14ac:dyDescent="0.3">
      <c r="C24" s="387"/>
      <c r="D24" s="170" t="s">
        <v>530</v>
      </c>
      <c r="E24" s="170"/>
      <c r="F24" s="165"/>
      <c r="G24" s="210"/>
    </row>
    <row r="25" spans="2:10" ht="15.6" x14ac:dyDescent="0.3">
      <c r="C25" s="387">
        <v>43831</v>
      </c>
      <c r="D25" s="170" t="s">
        <v>59</v>
      </c>
      <c r="E25" s="170"/>
      <c r="F25" s="165"/>
      <c r="G25" s="210">
        <v>1.6</v>
      </c>
    </row>
    <row r="26" spans="2:10" ht="15.6" x14ac:dyDescent="0.3">
      <c r="C26" s="671"/>
      <c r="D26" s="665" t="s">
        <v>531</v>
      </c>
      <c r="E26" s="665"/>
      <c r="F26" s="666"/>
      <c r="G26" s="672">
        <f>SUM(G24:G25)</f>
        <v>1.6</v>
      </c>
    </row>
    <row r="28" spans="2:10" ht="13.8" thickBot="1" x14ac:dyDescent="0.3"/>
    <row r="29" spans="2:10" ht="16.2" thickBot="1" x14ac:dyDescent="0.35">
      <c r="B29" s="223" t="s">
        <v>122</v>
      </c>
      <c r="C29" s="182"/>
      <c r="D29" s="182"/>
      <c r="E29" s="397" t="s">
        <v>119</v>
      </c>
      <c r="F29" s="394"/>
      <c r="H29" s="348"/>
      <c r="I29" s="116"/>
    </row>
    <row r="30" spans="2:10" ht="15.6" x14ac:dyDescent="0.3">
      <c r="B30" s="589"/>
      <c r="C30" s="590" t="s">
        <v>483</v>
      </c>
      <c r="D30" s="590"/>
      <c r="E30" s="591"/>
      <c r="F30" s="449"/>
    </row>
    <row r="31" spans="2:10" ht="15.6" x14ac:dyDescent="0.3">
      <c r="B31" s="387">
        <v>43481</v>
      </c>
      <c r="C31" s="170" t="s">
        <v>428</v>
      </c>
      <c r="D31" s="170"/>
      <c r="E31" s="165"/>
      <c r="F31" s="210">
        <v>1000</v>
      </c>
      <c r="H31" s="624" t="s">
        <v>430</v>
      </c>
    </row>
    <row r="32" spans="2:10" ht="15.6" x14ac:dyDescent="0.3">
      <c r="B32" s="387">
        <v>43483</v>
      </c>
      <c r="C32" s="170" t="s">
        <v>432</v>
      </c>
      <c r="D32" s="170"/>
      <c r="E32" s="165"/>
      <c r="F32" s="210">
        <v>3000</v>
      </c>
      <c r="H32" s="624" t="s">
        <v>376</v>
      </c>
    </row>
    <row r="33" spans="2:11" ht="15.6" x14ac:dyDescent="0.3">
      <c r="B33" s="387">
        <v>43772</v>
      </c>
      <c r="C33" s="170" t="s">
        <v>468</v>
      </c>
      <c r="D33" s="170"/>
      <c r="E33" s="165"/>
      <c r="F33" s="625">
        <v>1000</v>
      </c>
      <c r="H33" s="624" t="s">
        <v>487</v>
      </c>
    </row>
    <row r="34" spans="2:11" ht="16.2" thickBot="1" x14ac:dyDescent="0.35">
      <c r="B34" s="592"/>
      <c r="C34" s="593" t="s">
        <v>427</v>
      </c>
      <c r="D34" s="593"/>
      <c r="E34" s="594"/>
      <c r="F34" s="595">
        <v>5000</v>
      </c>
    </row>
    <row r="35" spans="2:11" ht="16.2" thickBot="1" x14ac:dyDescent="0.35">
      <c r="B35" s="98">
        <v>43830</v>
      </c>
      <c r="C35" s="92" t="s">
        <v>2</v>
      </c>
      <c r="D35" s="92"/>
      <c r="E35" s="509"/>
      <c r="F35" s="99">
        <v>0</v>
      </c>
    </row>
    <row r="36" spans="2:11" ht="16.2" thickBot="1" x14ac:dyDescent="0.35">
      <c r="B36" s="676"/>
      <c r="C36" s="674" t="s">
        <v>537</v>
      </c>
      <c r="D36" s="674"/>
      <c r="E36" s="677"/>
      <c r="F36" s="678"/>
    </row>
    <row r="37" spans="2:11" ht="16.2" thickBot="1" x14ac:dyDescent="0.35">
      <c r="B37" s="13"/>
      <c r="C37" s="203"/>
      <c r="D37" s="203"/>
      <c r="E37" s="202"/>
      <c r="F37" s="202"/>
    </row>
    <row r="38" spans="2:11" ht="15.6" x14ac:dyDescent="0.3">
      <c r="B38" s="223" t="s">
        <v>122</v>
      </c>
      <c r="C38" s="182"/>
      <c r="D38" s="182"/>
      <c r="E38" s="397" t="s">
        <v>119</v>
      </c>
      <c r="F38" s="394"/>
      <c r="H38" s="348"/>
      <c r="I38" s="116"/>
      <c r="J38" s="116"/>
      <c r="K38" s="204"/>
    </row>
    <row r="39" spans="2:11" ht="16.2" thickBot="1" x14ac:dyDescent="0.35">
      <c r="B39" s="105">
        <v>43100</v>
      </c>
      <c r="C39" s="227" t="s">
        <v>2</v>
      </c>
      <c r="D39" s="227"/>
      <c r="E39" s="227"/>
      <c r="F39" s="152">
        <v>1376.33</v>
      </c>
      <c r="G39" s="173"/>
      <c r="H39" s="116" t="e">
        <f>#REF!+#REF!</f>
        <v>#REF!</v>
      </c>
      <c r="J39" s="95"/>
      <c r="K39" s="204"/>
    </row>
    <row r="40" spans="2:11" ht="15.6" x14ac:dyDescent="0.3">
      <c r="B40" s="529"/>
      <c r="C40" s="530" t="s">
        <v>484</v>
      </c>
      <c r="D40" s="530"/>
      <c r="E40" s="530"/>
      <c r="F40" s="531"/>
      <c r="G40" s="173"/>
      <c r="J40" s="116" t="e">
        <f>F44+#REF!+#REF!</f>
        <v>#REF!</v>
      </c>
      <c r="K40" s="204" t="s">
        <v>385</v>
      </c>
    </row>
    <row r="41" spans="2:11" ht="15.6" x14ac:dyDescent="0.3">
      <c r="B41" s="377">
        <v>42759</v>
      </c>
      <c r="C41" s="415" t="s">
        <v>370</v>
      </c>
      <c r="D41" s="415"/>
      <c r="E41" s="415"/>
      <c r="F41" s="172">
        <v>7120</v>
      </c>
      <c r="G41" s="173"/>
      <c r="H41" s="7" t="s">
        <v>376</v>
      </c>
      <c r="J41" s="116" t="e">
        <f>#REF!+#REF!</f>
        <v>#REF!</v>
      </c>
      <c r="K41" s="204" t="s">
        <v>386</v>
      </c>
    </row>
    <row r="42" spans="2:11" ht="15.6" x14ac:dyDescent="0.3">
      <c r="B42" s="377">
        <v>43442</v>
      </c>
      <c r="C42" s="377" t="s">
        <v>402</v>
      </c>
      <c r="D42" s="377"/>
      <c r="E42" s="377"/>
      <c r="F42" s="538">
        <v>232.6</v>
      </c>
      <c r="G42" s="173"/>
      <c r="H42" s="7" t="s">
        <v>376</v>
      </c>
      <c r="J42" s="116"/>
      <c r="K42" s="204"/>
    </row>
    <row r="43" spans="2:11" ht="15.6" x14ac:dyDescent="0.3">
      <c r="B43" s="377">
        <v>43442</v>
      </c>
      <c r="C43" s="415" t="s">
        <v>403</v>
      </c>
      <c r="D43" s="415"/>
      <c r="E43" s="415"/>
      <c r="F43" s="172">
        <v>598.16999999999996</v>
      </c>
      <c r="G43" s="173"/>
      <c r="H43" s="7" t="s">
        <v>376</v>
      </c>
      <c r="J43" s="116"/>
      <c r="K43" s="204"/>
    </row>
    <row r="44" spans="2:11" ht="16.2" thickBot="1" x14ac:dyDescent="0.35">
      <c r="B44" s="532"/>
      <c r="C44" s="533" t="s">
        <v>365</v>
      </c>
      <c r="D44" s="533"/>
      <c r="E44" s="533"/>
      <c r="F44" s="72">
        <f>SUM(F40:F43)</f>
        <v>7950.77</v>
      </c>
      <c r="G44" s="173"/>
      <c r="K44" s="204"/>
    </row>
    <row r="45" spans="2:11" ht="16.2" thickBot="1" x14ac:dyDescent="0.35">
      <c r="B45" s="511" t="e">
        <f>#REF!</f>
        <v>#REF!</v>
      </c>
      <c r="C45" s="512" t="s">
        <v>2</v>
      </c>
      <c r="D45" s="512"/>
      <c r="E45" s="512"/>
      <c r="F45" s="513" t="e">
        <f>F39+#REF!+F44</f>
        <v>#REF!</v>
      </c>
      <c r="G45" s="173"/>
      <c r="H45" s="116"/>
      <c r="K45" s="204"/>
    </row>
    <row r="46" spans="2:11" ht="16.2" thickBot="1" x14ac:dyDescent="0.35">
      <c r="B46" s="589"/>
      <c r="C46" s="590" t="s">
        <v>424</v>
      </c>
      <c r="D46" s="590"/>
      <c r="E46" s="591"/>
      <c r="F46" s="449"/>
      <c r="I46" s="116" t="e">
        <f>F45+#REF!</f>
        <v>#REF!</v>
      </c>
      <c r="K46" s="204"/>
    </row>
    <row r="47" spans="2:11" ht="15.6" x14ac:dyDescent="0.3">
      <c r="B47" s="589"/>
      <c r="C47" s="590" t="s">
        <v>483</v>
      </c>
      <c r="D47" s="590"/>
      <c r="E47" s="591"/>
      <c r="F47" s="449"/>
      <c r="K47" s="204"/>
    </row>
    <row r="48" spans="2:11" ht="15.6" x14ac:dyDescent="0.3">
      <c r="B48" s="387">
        <v>43481</v>
      </c>
      <c r="C48" s="170" t="s">
        <v>428</v>
      </c>
      <c r="D48" s="170"/>
      <c r="E48" s="165"/>
      <c r="F48" s="210">
        <v>1000</v>
      </c>
      <c r="H48" s="624" t="s">
        <v>430</v>
      </c>
      <c r="K48" s="204"/>
    </row>
    <row r="49" spans="2:11" ht="15.6" x14ac:dyDescent="0.3">
      <c r="B49" s="387">
        <v>43483</v>
      </c>
      <c r="C49" s="170" t="s">
        <v>432</v>
      </c>
      <c r="D49" s="170"/>
      <c r="E49" s="165"/>
      <c r="F49" s="210">
        <v>3000</v>
      </c>
      <c r="H49" s="624" t="s">
        <v>376</v>
      </c>
      <c r="K49" s="204"/>
    </row>
    <row r="50" spans="2:11" ht="15.6" x14ac:dyDescent="0.3">
      <c r="B50" s="387">
        <v>43772</v>
      </c>
      <c r="C50" s="170" t="s">
        <v>468</v>
      </c>
      <c r="D50" s="170"/>
      <c r="E50" s="165"/>
      <c r="F50" s="625">
        <v>1000</v>
      </c>
      <c r="H50" s="624" t="s">
        <v>487</v>
      </c>
      <c r="K50" s="204"/>
    </row>
    <row r="51" spans="2:11" ht="16.2" thickBot="1" x14ac:dyDescent="0.35">
      <c r="B51" s="592"/>
      <c r="C51" s="593" t="s">
        <v>427</v>
      </c>
      <c r="D51" s="593"/>
      <c r="E51" s="594"/>
      <c r="F51" s="595">
        <f>SUM(F47:F50)</f>
        <v>5000</v>
      </c>
      <c r="K51" s="204"/>
    </row>
    <row r="52" spans="2:11" ht="16.2" thickBot="1" x14ac:dyDescent="0.35">
      <c r="B52" s="98" t="e">
        <f>#REF!</f>
        <v>#REF!</v>
      </c>
      <c r="C52" s="92" t="s">
        <v>2</v>
      </c>
      <c r="D52" s="92"/>
      <c r="E52" s="509"/>
      <c r="F52" s="99" t="e">
        <f>F45+#REF!+F51</f>
        <v>#REF!</v>
      </c>
      <c r="K52" s="204"/>
    </row>
    <row r="53" spans="2:11" ht="15.6" x14ac:dyDescent="0.3">
      <c r="B53" s="622"/>
      <c r="C53" s="588" t="s">
        <v>501</v>
      </c>
      <c r="D53" s="588"/>
      <c r="E53" s="541"/>
      <c r="F53" s="541"/>
      <c r="K53" s="204"/>
    </row>
  </sheetData>
  <pageMargins left="0.7" right="0.7" top="0.75" bottom="0.75" header="0.3" footer="0.3"/>
  <pageSetup paperSize="9" scale="67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U53"/>
  <sheetViews>
    <sheetView topLeftCell="A31" workbookViewId="0">
      <selection activeCell="C53" sqref="C53"/>
    </sheetView>
  </sheetViews>
  <sheetFormatPr defaultRowHeight="13.2" x14ac:dyDescent="0.25"/>
  <cols>
    <col min="1" max="1" width="33.44140625" customWidth="1"/>
    <col min="2" max="2" width="6.33203125" customWidth="1"/>
    <col min="3" max="4" width="20" customWidth="1"/>
    <col min="5" max="5" width="6.5546875" customWidth="1"/>
    <col min="6" max="6" width="35" customWidth="1"/>
    <col min="7" max="7" width="7.88671875" customWidth="1"/>
    <col min="8" max="8" width="16" customWidth="1"/>
    <col min="9" max="9" width="17" customWidth="1"/>
    <col min="10" max="10" width="14.44140625" customWidth="1"/>
    <col min="11" max="11" width="3" customWidth="1"/>
    <col min="12" max="12" width="49.5546875" customWidth="1"/>
    <col min="13" max="13" width="17" customWidth="1"/>
    <col min="14" max="14" width="20.5546875" customWidth="1"/>
    <col min="15" max="15" width="1.6640625" customWidth="1"/>
    <col min="16" max="16" width="35" customWidth="1"/>
    <col min="17" max="17" width="7.88671875" customWidth="1"/>
    <col min="18" max="18" width="12.44140625" customWidth="1"/>
    <col min="19" max="19" width="13.88671875" customWidth="1"/>
    <col min="20" max="20" width="14" customWidth="1"/>
  </cols>
  <sheetData>
    <row r="1" spans="1:21" ht="18" thickBot="1" x14ac:dyDescent="0.35">
      <c r="A1" s="257" t="s">
        <v>168</v>
      </c>
      <c r="B1" s="258"/>
      <c r="C1" s="258"/>
      <c r="D1" s="258"/>
      <c r="E1" s="259"/>
      <c r="F1" s="260"/>
      <c r="G1" s="260"/>
      <c r="H1" s="260"/>
      <c r="I1" s="718"/>
      <c r="Q1" s="348"/>
      <c r="R1" s="348"/>
      <c r="S1" s="348"/>
    </row>
    <row r="2" spans="1:21" ht="21.6" thickBot="1" x14ac:dyDescent="0.45">
      <c r="A2" s="404" t="s">
        <v>514</v>
      </c>
      <c r="B2" s="262"/>
      <c r="C2" s="82" t="s">
        <v>540</v>
      </c>
      <c r="D2" s="82"/>
      <c r="E2" s="263"/>
      <c r="F2" s="264"/>
      <c r="G2" s="264"/>
      <c r="H2" s="264"/>
      <c r="I2" s="719"/>
      <c r="L2" s="404" t="s">
        <v>517</v>
      </c>
      <c r="M2" s="430"/>
      <c r="N2" s="651"/>
      <c r="O2" s="573"/>
      <c r="P2" s="267"/>
      <c r="Q2" s="349"/>
      <c r="R2" s="349"/>
      <c r="S2" s="349"/>
      <c r="T2" s="559"/>
    </row>
    <row r="3" spans="1:21" ht="15.6" x14ac:dyDescent="0.3">
      <c r="A3" s="269"/>
      <c r="B3" s="270"/>
      <c r="C3" s="270"/>
      <c r="D3" s="270"/>
      <c r="E3" s="271"/>
      <c r="F3" s="272"/>
      <c r="G3" s="272"/>
      <c r="H3" s="272"/>
      <c r="I3" s="453"/>
      <c r="L3" s="273"/>
      <c r="M3" s="274"/>
      <c r="N3" s="275"/>
      <c r="O3" s="574"/>
      <c r="P3" s="276"/>
      <c r="Q3" s="350"/>
      <c r="R3" s="350"/>
      <c r="S3" s="350"/>
      <c r="T3" s="558"/>
    </row>
    <row r="4" spans="1:21" ht="15.6" x14ac:dyDescent="0.3">
      <c r="A4" s="838" t="s">
        <v>515</v>
      </c>
      <c r="B4" s="839"/>
      <c r="C4" s="839"/>
      <c r="D4" s="839"/>
      <c r="E4" s="839"/>
      <c r="F4" s="839"/>
      <c r="G4" s="839"/>
      <c r="H4" s="839"/>
      <c r="I4" s="840"/>
      <c r="L4" s="278"/>
      <c r="M4" s="276"/>
      <c r="N4" s="277"/>
      <c r="O4" s="575"/>
      <c r="P4" s="276"/>
      <c r="Q4" s="350"/>
      <c r="R4" s="350"/>
      <c r="S4" s="350"/>
      <c r="T4" s="558"/>
    </row>
    <row r="5" spans="1:21" ht="15.6" x14ac:dyDescent="0.3">
      <c r="A5" s="279" t="s">
        <v>173</v>
      </c>
      <c r="B5" s="6"/>
      <c r="C5" s="6"/>
      <c r="D5" s="6"/>
      <c r="E5" s="4"/>
      <c r="F5" s="219" t="s">
        <v>174</v>
      </c>
      <c r="G5" s="219"/>
      <c r="H5" s="219">
        <f>SUM(H10:H18)</f>
        <v>27574.26</v>
      </c>
      <c r="I5" s="454"/>
      <c r="L5" s="281" t="s">
        <v>175</v>
      </c>
      <c r="M5" s="282">
        <v>2020</v>
      </c>
      <c r="N5" s="464">
        <v>2019</v>
      </c>
      <c r="O5" s="576"/>
      <c r="P5" s="282" t="s">
        <v>541</v>
      </c>
      <c r="Q5" s="351"/>
      <c r="R5" s="351">
        <v>2020</v>
      </c>
      <c r="S5" s="351">
        <v>2019</v>
      </c>
      <c r="T5" s="558"/>
    </row>
    <row r="6" spans="1:21" ht="15" x14ac:dyDescent="0.25">
      <c r="A6" s="192"/>
      <c r="B6" s="7"/>
      <c r="C6" s="284">
        <v>43830</v>
      </c>
      <c r="D6" s="106">
        <v>43465</v>
      </c>
      <c r="E6" s="4"/>
      <c r="F6" s="285"/>
      <c r="G6" s="285"/>
      <c r="H6" s="220">
        <v>43830</v>
      </c>
      <c r="I6" s="286">
        <v>43465</v>
      </c>
      <c r="L6" s="278"/>
      <c r="M6" s="276"/>
      <c r="N6" s="277"/>
      <c r="O6" s="575"/>
      <c r="P6" s="276"/>
      <c r="Q6" s="350"/>
      <c r="R6" s="350"/>
      <c r="S6" s="350"/>
      <c r="T6" s="51"/>
    </row>
    <row r="7" spans="1:21" ht="15" x14ac:dyDescent="0.25">
      <c r="A7" s="192"/>
      <c r="B7" s="7"/>
      <c r="C7" s="7"/>
      <c r="E7" s="4"/>
      <c r="F7" s="285"/>
      <c r="G7" s="285"/>
      <c r="H7" s="285"/>
      <c r="I7" s="455"/>
      <c r="L7" s="288" t="s">
        <v>522</v>
      </c>
      <c r="M7" s="433">
        <f>C8</f>
        <v>0.02</v>
      </c>
      <c r="N7" s="289">
        <f>D8</f>
        <v>0</v>
      </c>
      <c r="O7" s="554"/>
      <c r="P7" s="294"/>
      <c r="Q7" s="294"/>
      <c r="R7" s="294"/>
      <c r="S7" s="294"/>
      <c r="T7" s="51"/>
    </row>
    <row r="8" spans="1:21" ht="15" x14ac:dyDescent="0.25">
      <c r="A8" s="192" t="s">
        <v>522</v>
      </c>
      <c r="B8" s="7"/>
      <c r="C8" s="193">
        <f>'31 dec 2019'!C16</f>
        <v>0.02</v>
      </c>
      <c r="D8" s="116">
        <v>0</v>
      </c>
      <c r="E8" s="4"/>
      <c r="F8" s="343" t="s">
        <v>204</v>
      </c>
      <c r="G8" s="343"/>
      <c r="H8" s="456">
        <f>'project 2019'!F245</f>
        <v>704.33000000000902</v>
      </c>
      <c r="I8" s="456">
        <f>'project 2018 def'!F361</f>
        <v>704.33000000000902</v>
      </c>
      <c r="L8" s="288" t="s">
        <v>215</v>
      </c>
      <c r="M8" s="433">
        <f>C9</f>
        <v>4415.41</v>
      </c>
      <c r="N8" s="289">
        <f>D9</f>
        <v>1094.79</v>
      </c>
      <c r="O8" s="554"/>
      <c r="P8" s="294"/>
      <c r="Q8" s="294"/>
      <c r="R8" s="294"/>
      <c r="S8" s="294"/>
      <c r="T8" s="51"/>
    </row>
    <row r="9" spans="1:21" ht="15" x14ac:dyDescent="0.25">
      <c r="A9" s="192" t="s">
        <v>293</v>
      </c>
      <c r="B9" s="7"/>
      <c r="C9" s="193">
        <f>'31 dec 2019'!C17</f>
        <v>4415.41</v>
      </c>
      <c r="D9" s="116">
        <v>1094.79</v>
      </c>
      <c r="E9" s="4"/>
      <c r="F9" s="221"/>
      <c r="G9" s="221"/>
      <c r="H9" s="221"/>
      <c r="I9" s="292"/>
      <c r="L9" s="288" t="s">
        <v>73</v>
      </c>
      <c r="M9" s="433">
        <f>C12</f>
        <v>23863.16</v>
      </c>
      <c r="N9" s="289">
        <f>D12</f>
        <v>3563.67</v>
      </c>
      <c r="O9" s="554"/>
      <c r="P9" s="294"/>
      <c r="Q9" s="294"/>
      <c r="R9" s="294"/>
      <c r="S9" s="294"/>
      <c r="T9" s="51"/>
    </row>
    <row r="10" spans="1:21" ht="15" x14ac:dyDescent="0.25">
      <c r="A10" s="365"/>
      <c r="C10" s="193"/>
      <c r="E10" s="4"/>
      <c r="F10" s="221" t="str">
        <f>'31 dec 2019'!E16</f>
        <v>*Tuinwerkgroep</v>
      </c>
      <c r="G10" s="431">
        <f>'31 dec 2019'!F16</f>
        <v>1</v>
      </c>
      <c r="H10" s="116">
        <f>'project 2019'!F15</f>
        <v>0.02</v>
      </c>
      <c r="I10" s="231">
        <f>'project 2018'!F26</f>
        <v>-6.934730567564884E-14</v>
      </c>
      <c r="J10" s="116"/>
      <c r="K10" s="116"/>
      <c r="L10" s="288"/>
      <c r="M10" s="403"/>
      <c r="N10" s="652"/>
      <c r="O10" s="554"/>
      <c r="P10" s="291" t="str">
        <f>F10</f>
        <v>*Tuinwerkgroep</v>
      </c>
      <c r="Q10" s="657">
        <f>G10</f>
        <v>1</v>
      </c>
      <c r="R10" s="433">
        <f>'project 2019'!P15</f>
        <v>0</v>
      </c>
      <c r="S10" s="433">
        <f>'project 2018'!P26</f>
        <v>0</v>
      </c>
      <c r="T10" s="51"/>
    </row>
    <row r="11" spans="1:21" ht="15" x14ac:dyDescent="0.25">
      <c r="A11" s="23"/>
      <c r="C11" s="193"/>
      <c r="E11" s="4"/>
      <c r="F11" s="221" t="str">
        <f>'31 dec 2019'!E19</f>
        <v>*Reservering diversen</v>
      </c>
      <c r="G11" s="431">
        <f>'31 dec 2019'!F19</f>
        <v>4</v>
      </c>
      <c r="H11" s="116">
        <f>'project 2019'!F66</f>
        <v>354.98</v>
      </c>
      <c r="I11" s="231">
        <f>'project 2018'!F123</f>
        <v>14.940000000000071</v>
      </c>
      <c r="J11" s="116"/>
      <c r="L11" s="288" t="s">
        <v>59</v>
      </c>
      <c r="M11" s="433">
        <v>1.5</v>
      </c>
      <c r="N11" s="289">
        <v>3</v>
      </c>
      <c r="O11" s="554"/>
      <c r="P11" s="291" t="str">
        <f t="shared" ref="P11:P17" si="0">F11</f>
        <v>*Reservering diversen</v>
      </c>
      <c r="Q11" s="657">
        <f t="shared" ref="Q11:Q17" si="1">G11</f>
        <v>4</v>
      </c>
      <c r="R11" s="433">
        <f t="shared" ref="R11:R17" si="2">H11</f>
        <v>354.98</v>
      </c>
      <c r="S11" s="433">
        <f>'project 2018'!F123</f>
        <v>14.940000000000071</v>
      </c>
      <c r="T11" s="51"/>
    </row>
    <row r="12" spans="1:21" ht="15" x14ac:dyDescent="0.25">
      <c r="A12" s="192" t="s">
        <v>73</v>
      </c>
      <c r="B12" s="7"/>
      <c r="C12" s="193">
        <f>'31 dec 2019'!C22</f>
        <v>23863.16</v>
      </c>
      <c r="D12" s="116">
        <v>3563.67</v>
      </c>
      <c r="E12" s="4"/>
      <c r="F12" s="221" t="str">
        <f>'31 dec 2019'!E21</f>
        <v>*Te besteden herinrichting ruimte</v>
      </c>
      <c r="G12" s="431">
        <f>'31 dec 2019'!F21</f>
        <v>6</v>
      </c>
      <c r="H12" s="116">
        <f>'project 2019'!F83</f>
        <v>31.44</v>
      </c>
      <c r="I12" s="231">
        <f>'project 2018'!F160</f>
        <v>31.440000000000012</v>
      </c>
      <c r="J12" s="116"/>
      <c r="L12" s="288" t="s">
        <v>180</v>
      </c>
      <c r="M12" s="433">
        <v>25</v>
      </c>
      <c r="N12" s="289">
        <v>50</v>
      </c>
      <c r="O12" s="554"/>
      <c r="P12" s="291" t="str">
        <f t="shared" si="0"/>
        <v>*Te besteden herinrichting ruimte</v>
      </c>
      <c r="Q12" s="657">
        <f t="shared" si="1"/>
        <v>6</v>
      </c>
      <c r="R12" s="433">
        <f t="shared" si="2"/>
        <v>31.44</v>
      </c>
      <c r="S12" s="433">
        <f>'project 2018'!F160</f>
        <v>31.440000000000012</v>
      </c>
      <c r="T12" s="194"/>
    </row>
    <row r="13" spans="1:21" ht="15.6" x14ac:dyDescent="0.3">
      <c r="A13" s="365"/>
      <c r="B13" s="116"/>
      <c r="C13" s="193"/>
      <c r="E13" s="4"/>
      <c r="F13" s="221" t="str">
        <f>'31 dec 2019'!E22</f>
        <v>*Te besteden 50 dingen boekje</v>
      </c>
      <c r="G13" s="431">
        <f>'31 dec 2019'!F22</f>
        <v>7</v>
      </c>
      <c r="H13" s="116">
        <f>'project 2019'!F131</f>
        <v>23863.16</v>
      </c>
      <c r="I13" s="231">
        <f>'project 2018'!F223</f>
        <v>5063.6699999999983</v>
      </c>
      <c r="J13" s="116"/>
      <c r="L13" s="655" t="s">
        <v>524</v>
      </c>
      <c r="M13" s="656"/>
      <c r="N13" s="652"/>
      <c r="O13" s="554"/>
      <c r="P13" s="291" t="str">
        <f t="shared" si="0"/>
        <v>*Te besteden 50 dingen boekje</v>
      </c>
      <c r="Q13" s="657">
        <f t="shared" si="1"/>
        <v>7</v>
      </c>
      <c r="R13" s="433">
        <f t="shared" si="2"/>
        <v>23863.16</v>
      </c>
      <c r="S13" s="433">
        <f>'project 2018'!F223</f>
        <v>5063.6699999999983</v>
      </c>
      <c r="T13" s="51"/>
      <c r="U13" s="7"/>
    </row>
    <row r="14" spans="1:21" ht="15.6" x14ac:dyDescent="0.3">
      <c r="A14" s="23"/>
      <c r="E14" s="4"/>
      <c r="F14" s="221" t="str">
        <f>'31 dec 2019'!E23</f>
        <v>*Basisonderwijs/st. Ronde Venen fonds</v>
      </c>
      <c r="G14" s="431">
        <f>'31 dec 2019'!F23</f>
        <v>8</v>
      </c>
      <c r="H14" s="116">
        <f>'project 2019'!F156</f>
        <v>1250</v>
      </c>
      <c r="I14" s="231">
        <f>'project 2018'!F245</f>
        <v>1500</v>
      </c>
      <c r="J14" s="116"/>
      <c r="L14" s="655" t="s">
        <v>525</v>
      </c>
      <c r="M14" s="656" t="s">
        <v>526</v>
      </c>
      <c r="N14" s="652"/>
      <c r="O14" s="554"/>
      <c r="P14" s="291" t="str">
        <f t="shared" si="0"/>
        <v>*Basisonderwijs/st. Ronde Venen fonds</v>
      </c>
      <c r="Q14" s="657">
        <f t="shared" si="1"/>
        <v>8</v>
      </c>
      <c r="R14" s="433">
        <f t="shared" si="2"/>
        <v>1250</v>
      </c>
      <c r="S14" s="433">
        <f>'project 2018'!F245</f>
        <v>1500</v>
      </c>
      <c r="T14" s="51"/>
      <c r="U14" s="7"/>
    </row>
    <row r="15" spans="1:21" ht="15" x14ac:dyDescent="0.25">
      <c r="A15" s="192"/>
      <c r="B15" s="7"/>
      <c r="C15" s="7"/>
      <c r="E15" s="4"/>
      <c r="F15" s="221" t="str">
        <f>'31 dec 2019'!E24</f>
        <v>*Stichting Doen/Oranjefonds</v>
      </c>
      <c r="G15" s="431">
        <f>'31 dec 2019'!F24</f>
        <v>9</v>
      </c>
      <c r="H15" s="116">
        <f>'project 2019'!F171</f>
        <v>48.66</v>
      </c>
      <c r="I15" s="231">
        <f>'project 2018'!F266</f>
        <v>48.66</v>
      </c>
      <c r="J15" s="116"/>
      <c r="L15" s="288"/>
      <c r="M15" s="403"/>
      <c r="N15" s="652"/>
      <c r="O15" s="554"/>
      <c r="P15" s="291" t="str">
        <f t="shared" si="0"/>
        <v>*Stichting Doen/Oranjefonds</v>
      </c>
      <c r="Q15" s="657">
        <f t="shared" si="1"/>
        <v>9</v>
      </c>
      <c r="R15" s="433">
        <f t="shared" si="2"/>
        <v>48.66</v>
      </c>
      <c r="S15" s="433">
        <f>'project 2018'!F266</f>
        <v>48.66</v>
      </c>
      <c r="T15" s="51"/>
      <c r="U15" s="7"/>
    </row>
    <row r="16" spans="1:21" ht="15" x14ac:dyDescent="0.25">
      <c r="A16" s="192"/>
      <c r="B16" s="7"/>
      <c r="C16" s="7"/>
      <c r="E16" s="4"/>
      <c r="F16" s="221" t="str">
        <f>'31 dec 2019'!E26</f>
        <v>*25 jarig bestaan</v>
      </c>
      <c r="G16" s="431">
        <f>'31 dec 2019'!F26</f>
        <v>11</v>
      </c>
      <c r="H16" s="116">
        <f>'project 2019'!F205</f>
        <v>0</v>
      </c>
      <c r="I16" s="540">
        <f>'project 2018'!F346</f>
        <v>-3630.5800000000054</v>
      </c>
      <c r="J16" s="116"/>
      <c r="L16" s="288"/>
      <c r="M16" s="403"/>
      <c r="N16" s="652"/>
      <c r="O16" s="554"/>
      <c r="P16" s="291" t="str">
        <f t="shared" si="0"/>
        <v>*25 jarig bestaan</v>
      </c>
      <c r="Q16" s="657">
        <f t="shared" si="1"/>
        <v>11</v>
      </c>
      <c r="R16" s="433">
        <f t="shared" si="2"/>
        <v>0</v>
      </c>
      <c r="S16" s="433">
        <v>1369.42</v>
      </c>
      <c r="T16" s="51"/>
      <c r="U16" s="7"/>
    </row>
    <row r="17" spans="1:21" ht="15" x14ac:dyDescent="0.25">
      <c r="A17" s="192"/>
      <c r="B17" s="7"/>
      <c r="C17" s="7"/>
      <c r="E17" s="4"/>
      <c r="F17" s="221" t="str">
        <f>'31 dec 2019'!E27</f>
        <v>*Ontwikkeling NME (1)</v>
      </c>
      <c r="G17" s="431">
        <f>'31 dec 2019'!F27</f>
        <v>12</v>
      </c>
      <c r="H17" s="116">
        <f>'project 2019'!F223</f>
        <v>2026</v>
      </c>
      <c r="I17" s="231">
        <f>'project 2018'!F369</f>
        <v>926</v>
      </c>
      <c r="J17" s="116"/>
      <c r="L17" s="288" t="s">
        <v>523</v>
      </c>
      <c r="M17" s="403"/>
      <c r="N17" s="403"/>
      <c r="O17" s="554"/>
      <c r="P17" s="291" t="str">
        <f t="shared" si="0"/>
        <v>*Ontwikkeling NME (1)</v>
      </c>
      <c r="Q17" s="657">
        <f t="shared" si="1"/>
        <v>12</v>
      </c>
      <c r="R17" s="433">
        <f t="shared" si="2"/>
        <v>2026</v>
      </c>
      <c r="S17" s="542">
        <f>'project 2018'!F369</f>
        <v>926</v>
      </c>
      <c r="T17" s="51" t="s">
        <v>417</v>
      </c>
      <c r="U17" s="116"/>
    </row>
    <row r="18" spans="1:21" ht="15" x14ac:dyDescent="0.25">
      <c r="A18" s="192"/>
      <c r="B18" s="7"/>
      <c r="C18" s="7"/>
      <c r="E18" s="4"/>
      <c r="F18" s="221" t="str">
        <f>'31 dec 2019'!E28</f>
        <v>Izettle</v>
      </c>
      <c r="G18" s="431">
        <f>'31 dec 2019'!F28</f>
        <v>13</v>
      </c>
      <c r="H18" s="193">
        <f>'project 2019'!F239</f>
        <v>0</v>
      </c>
      <c r="I18" s="231"/>
      <c r="J18" s="116"/>
      <c r="L18" s="443" t="s">
        <v>295</v>
      </c>
      <c r="M18" s="628"/>
      <c r="N18" s="652"/>
      <c r="O18" s="554"/>
      <c r="P18" s="294"/>
      <c r="Q18" s="294"/>
      <c r="R18" s="433"/>
      <c r="S18" s="294"/>
      <c r="T18" s="51"/>
    </row>
    <row r="19" spans="1:21" ht="15" x14ac:dyDescent="0.25">
      <c r="A19" s="192"/>
      <c r="B19" s="7"/>
      <c r="C19" s="7"/>
      <c r="E19" s="4"/>
      <c r="F19" s="221"/>
      <c r="G19" s="348"/>
      <c r="H19" s="116"/>
      <c r="I19" s="231"/>
      <c r="J19" s="116"/>
      <c r="L19" s="443" t="s">
        <v>434</v>
      </c>
      <c r="M19" s="628"/>
      <c r="N19" s="289">
        <v>4000</v>
      </c>
      <c r="O19" s="554"/>
      <c r="P19" s="294"/>
      <c r="Q19" s="353"/>
      <c r="R19" s="433"/>
      <c r="S19" s="542"/>
      <c r="T19" s="51"/>
    </row>
    <row r="20" spans="1:21" ht="15" x14ac:dyDescent="0.25">
      <c r="A20" s="192"/>
      <c r="B20" s="7"/>
      <c r="C20" s="7"/>
      <c r="E20" s="4"/>
      <c r="I20" s="51"/>
      <c r="J20" s="116"/>
      <c r="L20" s="288" t="s">
        <v>435</v>
      </c>
      <c r="M20" s="403"/>
      <c r="N20" s="289">
        <v>1000</v>
      </c>
      <c r="O20" s="554"/>
      <c r="P20" s="294"/>
      <c r="Q20" s="353"/>
      <c r="R20" s="433"/>
      <c r="S20" s="542"/>
      <c r="T20" s="194"/>
    </row>
    <row r="21" spans="1:21" ht="15" x14ac:dyDescent="0.25">
      <c r="A21" s="192"/>
      <c r="B21" s="7"/>
      <c r="C21" s="7"/>
      <c r="E21" s="4"/>
      <c r="I21" s="51"/>
      <c r="J21" s="116"/>
      <c r="L21" s="443" t="s">
        <v>440</v>
      </c>
      <c r="M21" s="628"/>
      <c r="N21" s="289">
        <v>2000</v>
      </c>
      <c r="O21" s="554"/>
      <c r="P21" s="403" t="s">
        <v>224</v>
      </c>
      <c r="Q21" s="353"/>
      <c r="R21" s="433">
        <f>SUM(R10:R20)</f>
        <v>27574.239999999998</v>
      </c>
      <c r="S21" s="542">
        <f>SUM(S11:S20)</f>
        <v>8954.1299999999974</v>
      </c>
      <c r="T21" s="194"/>
    </row>
    <row r="22" spans="1:21" ht="16.2" thickBot="1" x14ac:dyDescent="0.35">
      <c r="A22" s="192"/>
      <c r="B22" s="7"/>
      <c r="C22" s="7"/>
      <c r="E22" s="4"/>
      <c r="I22" s="51"/>
      <c r="J22" s="221"/>
      <c r="L22" s="653" t="s">
        <v>439</v>
      </c>
      <c r="M22" s="654"/>
      <c r="N22" s="467">
        <v>2500</v>
      </c>
      <c r="O22" s="554"/>
      <c r="P22" s="444" t="s">
        <v>163</v>
      </c>
      <c r="Q22" s="445"/>
      <c r="R22" s="543">
        <f>R23-R21</f>
        <v>730.85000000000218</v>
      </c>
      <c r="S22" s="543">
        <f>S23-S21</f>
        <v>2757.3300000000017</v>
      </c>
      <c r="T22" s="194"/>
    </row>
    <row r="23" spans="1:21" ht="15.6" thickBot="1" x14ac:dyDescent="0.3">
      <c r="A23" s="366" t="s">
        <v>205</v>
      </c>
      <c r="B23" s="299"/>
      <c r="C23" s="299">
        <f>SUM(C8:C14)</f>
        <v>28278.59</v>
      </c>
      <c r="D23" s="299">
        <f>SUM(D8:D14)</f>
        <v>4658.46</v>
      </c>
      <c r="E23" s="300"/>
      <c r="F23" s="301"/>
      <c r="G23" s="301"/>
      <c r="H23" s="299">
        <f>C23</f>
        <v>28278.59</v>
      </c>
      <c r="I23" s="303">
        <f>D23</f>
        <v>4658.46</v>
      </c>
      <c r="J23" s="299"/>
      <c r="K23" s="116"/>
      <c r="L23" s="560" t="s">
        <v>79</v>
      </c>
      <c r="M23" s="561">
        <f>SUM(M7:M21)</f>
        <v>28305.09</v>
      </c>
      <c r="N23" s="561">
        <f>SUM(N7:N21)</f>
        <v>11711.46</v>
      </c>
      <c r="O23" s="577"/>
      <c r="P23" s="572" t="s">
        <v>79</v>
      </c>
      <c r="Q23" s="562"/>
      <c r="R23" s="561">
        <f>M23</f>
        <v>28305.09</v>
      </c>
      <c r="S23" s="561">
        <f>N23</f>
        <v>11711.46</v>
      </c>
      <c r="T23" s="190"/>
    </row>
    <row r="24" spans="1:21" ht="15.6" thickBot="1" x14ac:dyDescent="0.3">
      <c r="A24" s="309"/>
      <c r="B24" s="310"/>
      <c r="C24" s="310"/>
      <c r="D24" s="310"/>
      <c r="E24" s="311"/>
      <c r="F24" s="432"/>
      <c r="G24" s="310"/>
      <c r="H24" s="310"/>
      <c r="I24" s="458"/>
      <c r="L24" s="564"/>
      <c r="M24" s="565"/>
      <c r="N24" s="565"/>
      <c r="O24" s="566"/>
      <c r="P24" s="567"/>
      <c r="Q24" s="568"/>
      <c r="R24" s="568"/>
      <c r="S24" s="568"/>
      <c r="T24" s="190"/>
    </row>
    <row r="25" spans="1:21" ht="15.6" thickBot="1" x14ac:dyDescent="0.3">
      <c r="A25" s="309"/>
      <c r="B25" s="310"/>
      <c r="C25" s="310"/>
      <c r="D25" s="310"/>
      <c r="E25" s="311"/>
      <c r="I25" s="194"/>
      <c r="L25" s="570"/>
      <c r="M25" s="49"/>
      <c r="N25" s="49"/>
      <c r="O25" s="236"/>
      <c r="P25" s="555"/>
      <c r="Q25" s="556"/>
      <c r="R25" s="556"/>
      <c r="S25" s="556"/>
      <c r="T25" s="571"/>
      <c r="U25" s="49"/>
    </row>
    <row r="26" spans="1:21" ht="15.6" thickBot="1" x14ac:dyDescent="0.3">
      <c r="A26" s="487" t="s">
        <v>412</v>
      </c>
      <c r="B26" s="720"/>
      <c r="C26" s="720"/>
      <c r="D26" s="721">
        <f>C23-D23</f>
        <v>23620.13</v>
      </c>
      <c r="E26" s="722"/>
      <c r="F26" s="723"/>
      <c r="G26" s="723"/>
      <c r="H26" s="723"/>
      <c r="I26" s="724"/>
      <c r="L26" s="547"/>
      <c r="M26" s="548"/>
      <c r="N26" s="548"/>
      <c r="O26" s="578"/>
      <c r="P26" s="548"/>
      <c r="Q26" s="550"/>
      <c r="R26" s="550"/>
      <c r="S26" s="551"/>
      <c r="T26" s="553"/>
      <c r="U26" s="49"/>
    </row>
    <row r="27" spans="1:21" ht="15.6" x14ac:dyDescent="0.3">
      <c r="A27" s="841"/>
      <c r="B27" s="842"/>
      <c r="C27" s="842"/>
      <c r="D27" s="842"/>
      <c r="E27" s="842"/>
      <c r="F27" s="842"/>
      <c r="G27" s="842"/>
      <c r="H27" s="842"/>
      <c r="I27" s="842"/>
      <c r="L27" s="328"/>
      <c r="M27" s="328"/>
      <c r="N27" s="328"/>
      <c r="Q27" s="348"/>
      <c r="R27" s="348"/>
      <c r="S27" s="348"/>
    </row>
    <row r="28" spans="1:21" ht="13.8" x14ac:dyDescent="0.25">
      <c r="A28" s="321"/>
      <c r="B28" s="322"/>
      <c r="C28" s="322"/>
      <c r="D28" s="322"/>
      <c r="E28" s="324"/>
      <c r="F28" s="219"/>
      <c r="G28" s="219"/>
      <c r="H28" s="219">
        <f>H23-H13-H10</f>
        <v>4415.41</v>
      </c>
      <c r="I28" s="219"/>
      <c r="L28" s="328"/>
      <c r="M28" s="328"/>
      <c r="N28" s="328"/>
      <c r="Q28" s="348"/>
      <c r="R28" s="348"/>
      <c r="S28" s="348"/>
    </row>
    <row r="31" spans="1:21" ht="15.6" x14ac:dyDescent="0.3">
      <c r="A31" s="850" t="s">
        <v>516</v>
      </c>
      <c r="B31" s="851"/>
      <c r="C31" s="851"/>
      <c r="D31" s="851"/>
      <c r="E31" s="851"/>
      <c r="F31" s="851"/>
      <c r="G31" s="851"/>
      <c r="H31" s="851"/>
      <c r="I31" s="852"/>
    </row>
    <row r="32" spans="1:21" ht="13.8" x14ac:dyDescent="0.25">
      <c r="A32" s="630" t="s">
        <v>175</v>
      </c>
      <c r="B32" s="322"/>
      <c r="C32" s="322"/>
      <c r="D32" s="322"/>
      <c r="E32" s="324"/>
      <c r="F32" s="219" t="s">
        <v>176</v>
      </c>
      <c r="G32" s="219"/>
      <c r="H32" s="219"/>
      <c r="I32" s="631"/>
    </row>
    <row r="33" spans="1:9" x14ac:dyDescent="0.25">
      <c r="A33" s="632"/>
      <c r="C33">
        <v>2019</v>
      </c>
      <c r="D33">
        <v>2018</v>
      </c>
      <c r="E33" s="224"/>
      <c r="H33">
        <v>2019</v>
      </c>
      <c r="I33" s="633">
        <v>2018</v>
      </c>
    </row>
    <row r="34" spans="1:9" ht="13.8" x14ac:dyDescent="0.25">
      <c r="A34" s="634"/>
      <c r="B34" s="1"/>
      <c r="D34" s="1"/>
      <c r="F34" s="7" t="s">
        <v>210</v>
      </c>
      <c r="G34" s="1" t="s">
        <v>110</v>
      </c>
      <c r="H34" s="116">
        <f>'31 dec 2019'!K16</f>
        <v>0</v>
      </c>
      <c r="I34" s="635">
        <v>-232.6</v>
      </c>
    </row>
    <row r="35" spans="1:9" x14ac:dyDescent="0.25">
      <c r="A35" s="636" t="s">
        <v>194</v>
      </c>
      <c r="B35" s="7" t="s">
        <v>110</v>
      </c>
      <c r="C35" s="116">
        <f>'31 dec 2019'!J16</f>
        <v>0.02</v>
      </c>
      <c r="D35" s="193">
        <v>0.08</v>
      </c>
      <c r="E35" s="7"/>
      <c r="F35" s="106" t="s">
        <v>108</v>
      </c>
      <c r="G35" t="s">
        <v>109</v>
      </c>
      <c r="H35" s="116">
        <f>'31 dec 2019'!I17</f>
        <v>0</v>
      </c>
      <c r="I35" s="635">
        <v>-598.16999999999996</v>
      </c>
    </row>
    <row r="36" spans="1:9" x14ac:dyDescent="0.25">
      <c r="A36" s="636" t="s">
        <v>67</v>
      </c>
      <c r="B36" s="7" t="s">
        <v>112</v>
      </c>
      <c r="C36" s="116">
        <f>'31 dec 2019'!J19</f>
        <v>459.42</v>
      </c>
      <c r="D36" s="193">
        <v>1.94</v>
      </c>
      <c r="E36" s="7"/>
      <c r="F36" s="7" t="s">
        <v>211</v>
      </c>
      <c r="G36" s="7" t="s">
        <v>112</v>
      </c>
      <c r="H36" s="116">
        <f>'31 dec 2019'!I19</f>
        <v>-119.38000000000001</v>
      </c>
      <c r="I36" s="635">
        <v>-120.32</v>
      </c>
    </row>
    <row r="37" spans="1:9" x14ac:dyDescent="0.25">
      <c r="A37" s="637" t="s">
        <v>83</v>
      </c>
      <c r="B37" t="s">
        <v>115</v>
      </c>
      <c r="C37" s="116">
        <f>'31 dec 2019'!J22</f>
        <v>21510.65</v>
      </c>
      <c r="D37" s="193">
        <v>1.68</v>
      </c>
      <c r="E37" s="7"/>
      <c r="F37" s="7" t="s">
        <v>83</v>
      </c>
      <c r="G37" t="s">
        <v>115</v>
      </c>
      <c r="H37" s="116">
        <f>'31 dec 2019'!I22</f>
        <v>-2711.1600000000003</v>
      </c>
      <c r="I37" s="635">
        <v>-2475.85</v>
      </c>
    </row>
    <row r="38" spans="1:9" x14ac:dyDescent="0.25">
      <c r="A38" s="636" t="s">
        <v>88</v>
      </c>
      <c r="B38" t="s">
        <v>116</v>
      </c>
      <c r="C38" s="116">
        <f>'31 dec 2019'!J23</f>
        <v>2250</v>
      </c>
      <c r="D38" s="116">
        <v>3000</v>
      </c>
      <c r="E38" s="7"/>
      <c r="F38" s="284" t="s">
        <v>153</v>
      </c>
      <c r="G38" t="s">
        <v>116</v>
      </c>
      <c r="H38" s="116">
        <f>'31 dec 2019'!I23</f>
        <v>-2500</v>
      </c>
      <c r="I38" s="635">
        <v>-3000</v>
      </c>
    </row>
    <row r="39" spans="1:9" x14ac:dyDescent="0.25">
      <c r="A39" s="638" t="s">
        <v>89</v>
      </c>
      <c r="B39" t="s">
        <v>119</v>
      </c>
      <c r="C39" s="116">
        <f>'31 dec 2019'!J26</f>
        <v>5000</v>
      </c>
      <c r="D39" s="116">
        <v>7950.77</v>
      </c>
      <c r="E39" s="7"/>
      <c r="F39" t="s">
        <v>122</v>
      </c>
      <c r="G39" t="s">
        <v>119</v>
      </c>
      <c r="H39" s="116">
        <f>'31 dec 2019'!I26</f>
        <v>-1369.42</v>
      </c>
      <c r="I39" s="635">
        <v>-12957.68</v>
      </c>
    </row>
    <row r="40" spans="1:9" x14ac:dyDescent="0.25">
      <c r="A40" s="638" t="s">
        <v>226</v>
      </c>
      <c r="B40" t="s">
        <v>141</v>
      </c>
      <c r="C40" s="116">
        <f>'31 dec 2019'!J27</f>
        <v>1100</v>
      </c>
      <c r="D40" s="116">
        <v>0</v>
      </c>
      <c r="E40" s="221"/>
      <c r="F40" t="str">
        <f>'31 dec 2019'!E28</f>
        <v>Izettle</v>
      </c>
      <c r="G40" s="7" t="s">
        <v>520</v>
      </c>
      <c r="H40" s="116">
        <f>'31 dec 2019'!I28</f>
        <v>-279.06</v>
      </c>
      <c r="I40" s="639"/>
    </row>
    <row r="41" spans="1:9" x14ac:dyDescent="0.25">
      <c r="A41" s="638" t="s">
        <v>518</v>
      </c>
      <c r="B41" t="s">
        <v>519</v>
      </c>
      <c r="C41" s="116">
        <f>'31 dec 2019'!J28</f>
        <v>279.06</v>
      </c>
      <c r="D41" s="116"/>
      <c r="E41" s="221"/>
      <c r="I41" s="633"/>
    </row>
    <row r="42" spans="1:9" x14ac:dyDescent="0.25">
      <c r="A42" s="636"/>
      <c r="B42" s="7"/>
      <c r="C42" s="7"/>
      <c r="D42" s="7"/>
      <c r="E42" s="221"/>
      <c r="I42" s="633"/>
    </row>
    <row r="43" spans="1:9" x14ac:dyDescent="0.25">
      <c r="A43" s="636"/>
      <c r="B43" s="7"/>
      <c r="C43" s="7"/>
      <c r="D43" s="7"/>
      <c r="E43" s="221"/>
      <c r="H43" s="116"/>
      <c r="I43" s="635"/>
    </row>
    <row r="44" spans="1:9" x14ac:dyDescent="0.25">
      <c r="A44" s="640"/>
      <c r="B44" s="641"/>
      <c r="C44" s="641"/>
      <c r="D44" s="641"/>
      <c r="E44" s="298"/>
      <c r="F44" s="295"/>
      <c r="G44" s="295"/>
      <c r="H44" s="295"/>
      <c r="I44" s="642"/>
    </row>
    <row r="45" spans="1:9" s="4" customFormat="1" ht="21" customHeight="1" x14ac:dyDescent="0.3">
      <c r="A45" s="645" t="s">
        <v>219</v>
      </c>
      <c r="B45" s="646"/>
      <c r="C45" s="647">
        <f>SUM(C35:C42)</f>
        <v>30599.15</v>
      </c>
      <c r="D45" s="647">
        <f>SUM(D35:D42)</f>
        <v>10954.470000000001</v>
      </c>
      <c r="E45" s="648"/>
      <c r="F45" s="646" t="s">
        <v>218</v>
      </c>
      <c r="G45" s="646"/>
      <c r="H45" s="649">
        <f>SUM(H34:H43)</f>
        <v>-6979.0200000000013</v>
      </c>
      <c r="I45" s="650">
        <f>SUM(I34:I43)</f>
        <v>-19384.62</v>
      </c>
    </row>
    <row r="46" spans="1:9" ht="15.6" x14ac:dyDescent="0.3">
      <c r="A46" s="632"/>
      <c r="E46" s="221"/>
      <c r="F46" s="346" t="s">
        <v>521</v>
      </c>
      <c r="G46" s="346"/>
      <c r="H46" s="347">
        <f>C45+H45</f>
        <v>23620.13</v>
      </c>
      <c r="I46" s="639"/>
    </row>
    <row r="47" spans="1:9" ht="13.8" x14ac:dyDescent="0.25">
      <c r="A47" s="636"/>
      <c r="E47" s="221"/>
      <c r="F47" s="1" t="s">
        <v>411</v>
      </c>
      <c r="G47" s="1"/>
      <c r="H47" s="629"/>
      <c r="I47" s="643">
        <f>D45+I45</f>
        <v>-8430.1499999999978</v>
      </c>
    </row>
    <row r="48" spans="1:9" x14ac:dyDescent="0.25">
      <c r="A48" s="640"/>
      <c r="B48" s="641"/>
      <c r="C48" s="641"/>
      <c r="D48" s="296"/>
      <c r="E48" s="298"/>
      <c r="F48" s="641"/>
      <c r="G48" s="641"/>
      <c r="H48" s="641"/>
      <c r="I48" s="644"/>
    </row>
    <row r="49" spans="1:9" ht="13.8" x14ac:dyDescent="0.25">
      <c r="A49" s="42"/>
      <c r="B49" s="1"/>
      <c r="C49" s="1"/>
      <c r="D49" s="1"/>
      <c r="E49" s="324"/>
      <c r="I49" s="51"/>
    </row>
    <row r="50" spans="1:9" ht="15" x14ac:dyDescent="0.25">
      <c r="A50" s="844" t="s">
        <v>200</v>
      </c>
      <c r="B50" s="845"/>
      <c r="C50" s="845"/>
      <c r="D50" s="845"/>
      <c r="E50" s="845"/>
      <c r="F50" s="845"/>
      <c r="G50" s="845"/>
      <c r="H50" s="845"/>
      <c r="I50" s="846"/>
    </row>
    <row r="51" spans="1:9" ht="13.8" x14ac:dyDescent="0.25">
      <c r="A51" s="337"/>
      <c r="B51" s="338"/>
      <c r="C51" s="338"/>
      <c r="D51" s="338"/>
      <c r="E51" s="324"/>
      <c r="I51" s="51"/>
    </row>
    <row r="52" spans="1:9" x14ac:dyDescent="0.25">
      <c r="A52" s="847" t="s">
        <v>201</v>
      </c>
      <c r="B52" s="848"/>
      <c r="C52" s="848"/>
      <c r="D52" s="848"/>
      <c r="E52" s="848"/>
      <c r="F52" s="848"/>
      <c r="G52" s="848"/>
      <c r="H52" s="848"/>
      <c r="I52" s="849"/>
    </row>
    <row r="53" spans="1:9" ht="14.4" thickBot="1" x14ac:dyDescent="0.3">
      <c r="A53" s="339"/>
      <c r="B53" s="340"/>
      <c r="C53" s="340"/>
      <c r="D53" s="340"/>
      <c r="E53" s="342"/>
      <c r="F53" s="215"/>
      <c r="G53" s="215"/>
      <c r="H53" s="215"/>
      <c r="I53" s="216"/>
    </row>
  </sheetData>
  <mergeCells count="5">
    <mergeCell ref="A4:I4"/>
    <mergeCell ref="A27:I27"/>
    <mergeCell ref="A31:I31"/>
    <mergeCell ref="A50:I50"/>
    <mergeCell ref="A52:I52"/>
  </mergeCells>
  <pageMargins left="0.7" right="0.7" top="0.75" bottom="0.75" header="0.3" footer="0.3"/>
  <pageSetup paperSize="9" scale="76" orientation="landscape" horizontalDpi="360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4:Q46"/>
  <sheetViews>
    <sheetView topLeftCell="H10" workbookViewId="0">
      <selection activeCell="L21" sqref="L21"/>
    </sheetView>
  </sheetViews>
  <sheetFormatPr defaultRowHeight="13.2" x14ac:dyDescent="0.25"/>
  <cols>
    <col min="1" max="1" width="13.6640625" customWidth="1"/>
    <col min="2" max="2" width="43.44140625" customWidth="1"/>
    <col min="3" max="3" width="14.6640625" customWidth="1"/>
    <col min="4" max="4" width="1.6640625" customWidth="1"/>
    <col min="5" max="5" width="35" customWidth="1"/>
    <col min="6" max="6" width="4.109375" customWidth="1"/>
    <col min="7" max="7" width="14.6640625" customWidth="1"/>
    <col min="8" max="8" width="15.44140625" customWidth="1"/>
    <col min="9" max="9" width="16.6640625" customWidth="1"/>
    <col min="10" max="10" width="14.5546875" customWidth="1"/>
    <col min="11" max="11" width="18.33203125" customWidth="1"/>
    <col min="12" max="12" width="26.88671875" customWidth="1"/>
    <col min="13" max="13" width="28" customWidth="1"/>
    <col min="14" max="14" width="13.44140625" customWidth="1"/>
    <col min="16" max="16" width="14.88671875" customWidth="1"/>
  </cols>
  <sheetData>
    <row r="4" spans="1:17" ht="30" x14ac:dyDescent="0.5">
      <c r="B4" s="222" t="s">
        <v>142</v>
      </c>
    </row>
    <row r="7" spans="1:17" ht="21" x14ac:dyDescent="0.4">
      <c r="B7" s="150" t="s">
        <v>158</v>
      </c>
      <c r="C7" s="250">
        <v>43830</v>
      </c>
    </row>
    <row r="8" spans="1:17" x14ac:dyDescent="0.25">
      <c r="E8" s="116"/>
    </row>
    <row r="9" spans="1:17" x14ac:dyDescent="0.25">
      <c r="K9" s="116"/>
    </row>
    <row r="10" spans="1:17" x14ac:dyDescent="0.25">
      <c r="A10" s="116"/>
      <c r="B10">
        <v>9.9499999999999993</v>
      </c>
      <c r="I10" s="116"/>
      <c r="K10" s="116" t="s">
        <v>267</v>
      </c>
      <c r="L10" s="116"/>
    </row>
    <row r="11" spans="1:17" ht="13.8" thickBot="1" x14ac:dyDescent="0.3">
      <c r="B11" s="328"/>
      <c r="C11" s="367"/>
    </row>
    <row r="12" spans="1:17" x14ac:dyDescent="0.25">
      <c r="A12" s="116"/>
      <c r="B12" s="189"/>
      <c r="C12" s="190"/>
      <c r="D12" s="32"/>
      <c r="E12" s="189"/>
      <c r="F12" s="32"/>
      <c r="G12" s="32" t="s">
        <v>159</v>
      </c>
      <c r="H12" s="190" t="s">
        <v>159</v>
      </c>
      <c r="I12" s="32" t="s">
        <v>161</v>
      </c>
      <c r="J12" s="190" t="s">
        <v>161</v>
      </c>
      <c r="K12" s="233">
        <v>-5175.3100000000004</v>
      </c>
      <c r="L12" s="32"/>
      <c r="M12" s="190"/>
    </row>
    <row r="13" spans="1:17" x14ac:dyDescent="0.25">
      <c r="A13" s="116">
        <f>A17-C17</f>
        <v>9.0949470177292824E-12</v>
      </c>
      <c r="B13" s="23"/>
      <c r="C13" s="51"/>
      <c r="E13" s="23"/>
      <c r="G13" s="247">
        <f>C7</f>
        <v>43830</v>
      </c>
      <c r="H13" s="240">
        <f>C7</f>
        <v>43830</v>
      </c>
      <c r="I13" s="247">
        <f>C7</f>
        <v>43830</v>
      </c>
      <c r="J13" s="248">
        <f>C7</f>
        <v>43830</v>
      </c>
      <c r="K13" s="234">
        <v>43465</v>
      </c>
      <c r="M13" s="191"/>
    </row>
    <row r="14" spans="1:17" ht="13.8" thickBot="1" x14ac:dyDescent="0.3">
      <c r="B14" s="197" t="s">
        <v>162</v>
      </c>
      <c r="C14" s="51"/>
      <c r="E14" s="197" t="s">
        <v>99</v>
      </c>
      <c r="F14" s="7"/>
      <c r="G14" s="7" t="s">
        <v>102</v>
      </c>
      <c r="H14" s="241" t="s">
        <v>160</v>
      </c>
      <c r="I14" s="7" t="s">
        <v>101</v>
      </c>
      <c r="J14" s="191" t="s">
        <v>100</v>
      </c>
      <c r="K14" s="235" t="s">
        <v>84</v>
      </c>
      <c r="L14" s="7" t="s">
        <v>105</v>
      </c>
      <c r="M14" s="51"/>
      <c r="N14" s="557"/>
      <c r="O14" s="557"/>
      <c r="P14" s="557"/>
      <c r="Q14" s="557"/>
    </row>
    <row r="15" spans="1:17" x14ac:dyDescent="0.25">
      <c r="A15" s="528" t="s">
        <v>383</v>
      </c>
      <c r="B15" s="249">
        <f>C7</f>
        <v>43830</v>
      </c>
      <c r="C15" s="51"/>
      <c r="E15" s="246">
        <f>C7</f>
        <v>43830</v>
      </c>
      <c r="H15" s="51"/>
      <c r="J15" s="51"/>
      <c r="K15" s="236"/>
      <c r="L15" s="7"/>
      <c r="M15" s="51"/>
      <c r="N15" s="221"/>
      <c r="O15" s="221"/>
      <c r="P15" s="221"/>
      <c r="Q15" s="221"/>
    </row>
    <row r="16" spans="1:17" x14ac:dyDescent="0.25">
      <c r="A16" s="525">
        <f>'project 2019'!F15</f>
        <v>0.02</v>
      </c>
      <c r="B16" s="23" t="s">
        <v>264</v>
      </c>
      <c r="C16" s="623">
        <v>0.02</v>
      </c>
      <c r="E16" s="606" t="str">
        <f>'jaarekening 2016 begr 2017'!Q7</f>
        <v>*Tuinwerkgroep</v>
      </c>
      <c r="F16" s="348">
        <f>'jaarekening 2016 begr 2017'!R7</f>
        <v>1</v>
      </c>
      <c r="G16" s="116">
        <v>0</v>
      </c>
      <c r="H16" s="194">
        <f t="shared" ref="H16:H27" si="0">J16+K16+I16</f>
        <v>0.02</v>
      </c>
      <c r="I16" s="116">
        <f>'project 2019'!F10</f>
        <v>0</v>
      </c>
      <c r="J16" s="194">
        <f>'project 2019'!F14</f>
        <v>0.02</v>
      </c>
      <c r="K16" s="238">
        <f>'project 2019'!F7</f>
        <v>0</v>
      </c>
      <c r="L16" s="193" t="s">
        <v>449</v>
      </c>
      <c r="M16" s="194"/>
      <c r="N16" s="221"/>
      <c r="O16" s="348"/>
      <c r="P16" s="193"/>
      <c r="Q16" s="193"/>
    </row>
    <row r="17" spans="1:17" x14ac:dyDescent="0.25">
      <c r="A17" s="526">
        <f>'project 2019'!F66+'project 2019'!F83+'project 2019'!F156+'project 2019'!F171+'project 2019'!F205+'project 2019'!F223+'project 2019'!F239+'project 2019'!F245</f>
        <v>4415.4100000000089</v>
      </c>
      <c r="B17" s="23" t="s">
        <v>266</v>
      </c>
      <c r="C17" s="623">
        <v>4415.41</v>
      </c>
      <c r="E17" s="598" t="str">
        <f>'jaarekening 2016 begr 2017'!Q8</f>
        <v xml:space="preserve">*Te besteden voor tuin </v>
      </c>
      <c r="F17" s="599">
        <f>'jaarekening 2016 begr 2017'!R8</f>
        <v>2</v>
      </c>
      <c r="G17" s="587"/>
      <c r="H17" s="600">
        <f t="shared" si="0"/>
        <v>0</v>
      </c>
      <c r="I17" s="587">
        <v>0</v>
      </c>
      <c r="J17" s="600">
        <v>0</v>
      </c>
      <c r="K17" s="601">
        <f>'project 2018 def'!F44</f>
        <v>0</v>
      </c>
      <c r="L17" s="602" t="s">
        <v>451</v>
      </c>
      <c r="M17" s="600"/>
      <c r="N17" s="221"/>
      <c r="O17" s="348"/>
      <c r="P17" s="193"/>
      <c r="Q17" s="193"/>
    </row>
    <row r="18" spans="1:17" ht="15.6" x14ac:dyDescent="0.3">
      <c r="A18" s="526"/>
      <c r="B18" s="617"/>
      <c r="C18" s="51"/>
      <c r="E18" s="598" t="str">
        <f>'jaarekening 2016 begr 2017'!Q9</f>
        <v>*Te besteden voor algemene publieksact.</v>
      </c>
      <c r="F18" s="599">
        <f>'jaarekening 2016 begr 2017'!R9</f>
        <v>3</v>
      </c>
      <c r="G18" s="587">
        <f>K18+J18+I18-H18</f>
        <v>0</v>
      </c>
      <c r="H18" s="600">
        <f t="shared" si="0"/>
        <v>2.2282176104226892E-13</v>
      </c>
      <c r="I18" s="587">
        <v>0</v>
      </c>
      <c r="J18" s="587">
        <v>0</v>
      </c>
      <c r="K18" s="601">
        <f>'project 2018 def'!F56</f>
        <v>2.2282176104226892E-13</v>
      </c>
      <c r="L18" s="602" t="s">
        <v>451</v>
      </c>
      <c r="M18" s="603"/>
      <c r="N18" s="221"/>
      <c r="O18" s="348"/>
      <c r="P18" s="193"/>
      <c r="Q18" s="193"/>
    </row>
    <row r="19" spans="1:17" ht="15.6" x14ac:dyDescent="0.3">
      <c r="A19" s="525"/>
      <c r="B19" s="617"/>
      <c r="C19" s="194"/>
      <c r="E19" s="521" t="str">
        <f>'jaarekening 2016 begr 2017'!Q10</f>
        <v>*Reservering diversen</v>
      </c>
      <c r="F19" s="348">
        <f>'jaarekening 2016 begr 2017'!R10</f>
        <v>4</v>
      </c>
      <c r="G19" s="116"/>
      <c r="H19" s="409">
        <f t="shared" si="0"/>
        <v>354.98</v>
      </c>
      <c r="I19" s="519">
        <f>'project 2019'!F60</f>
        <v>-119.38000000000001</v>
      </c>
      <c r="J19" s="194">
        <f>'project 2019'!F65</f>
        <v>459.42</v>
      </c>
      <c r="K19" s="237">
        <f>'project 2019'!F45</f>
        <v>14.939999999999985</v>
      </c>
      <c r="L19" s="193" t="s">
        <v>312</v>
      </c>
      <c r="M19" s="51"/>
      <c r="N19" s="221"/>
      <c r="O19" s="348"/>
      <c r="P19" s="193"/>
      <c r="Q19" s="193"/>
    </row>
    <row r="20" spans="1:17" x14ac:dyDescent="0.25">
      <c r="A20" s="525"/>
      <c r="B20" s="365"/>
      <c r="C20" s="51"/>
      <c r="E20" s="598" t="str">
        <f>'jaarekening 2016 begr 2017'!Q11</f>
        <v>*Te besteden voor tentoonstelling</v>
      </c>
      <c r="F20" s="599">
        <f>'jaarekening 2016 begr 2017'!R11</f>
        <v>5</v>
      </c>
      <c r="G20" s="587"/>
      <c r="H20" s="600">
        <f t="shared" si="0"/>
        <v>0</v>
      </c>
      <c r="I20" s="587">
        <v>0</v>
      </c>
      <c r="J20" s="587">
        <v>0</v>
      </c>
      <c r="K20" s="601">
        <f>'project 2018 def'!F135</f>
        <v>0</v>
      </c>
      <c r="L20" s="602" t="s">
        <v>452</v>
      </c>
      <c r="M20" s="603"/>
      <c r="N20" s="221"/>
      <c r="O20" s="348"/>
      <c r="P20" s="193"/>
      <c r="Q20" s="193"/>
    </row>
    <row r="21" spans="1:17" x14ac:dyDescent="0.25">
      <c r="A21" s="525"/>
      <c r="B21" s="406"/>
      <c r="C21" s="194"/>
      <c r="E21" s="521" t="str">
        <f>'jaarekening 2016 begr 2017'!Q12</f>
        <v>*Te besteden herinrichting ruimte</v>
      </c>
      <c r="F21" s="348">
        <f>'jaarekening 2016 begr 2017'!R12</f>
        <v>6</v>
      </c>
      <c r="G21" s="116"/>
      <c r="H21" s="409">
        <f t="shared" si="0"/>
        <v>31.44</v>
      </c>
      <c r="I21" s="116">
        <f>'project 2019'!F79</f>
        <v>0</v>
      </c>
      <c r="J21" s="194">
        <f>'project 2019'!F82</f>
        <v>0</v>
      </c>
      <c r="K21" s="237">
        <f>'project 2019'!F77</f>
        <v>31.44</v>
      </c>
      <c r="L21" s="193" t="s">
        <v>313</v>
      </c>
      <c r="M21" s="194"/>
      <c r="N21" s="221"/>
      <c r="O21" s="348"/>
      <c r="P21" s="193"/>
      <c r="Q21" s="193"/>
    </row>
    <row r="22" spans="1:17" ht="13.8" thickBot="1" x14ac:dyDescent="0.3">
      <c r="A22" s="527">
        <f>'project 2019'!F131</f>
        <v>23863.16</v>
      </c>
      <c r="B22" s="610" t="s">
        <v>265</v>
      </c>
      <c r="C22" s="623">
        <v>23863.16</v>
      </c>
      <c r="E22" s="521" t="str">
        <f>'jaarekening 2016 begr 2017'!Q13</f>
        <v>*Te besteden 50 dingen boekje</v>
      </c>
      <c r="F22" s="348">
        <f>'jaarekening 2016 begr 2017'!R13</f>
        <v>7</v>
      </c>
      <c r="G22" s="116"/>
      <c r="H22" s="540">
        <f t="shared" si="0"/>
        <v>23863.16</v>
      </c>
      <c r="I22" s="116">
        <f>'project 2019'!F115</f>
        <v>-2711.1600000000003</v>
      </c>
      <c r="J22" s="407">
        <f>'project 2019'!F130</f>
        <v>21510.65</v>
      </c>
      <c r="K22" s="237">
        <f>'project 2019'!F106</f>
        <v>5063.67</v>
      </c>
      <c r="L22" s="193" t="s">
        <v>314</v>
      </c>
      <c r="M22" s="51"/>
      <c r="N22" s="221"/>
      <c r="O22" s="348"/>
      <c r="P22" s="193"/>
      <c r="Q22" s="193"/>
    </row>
    <row r="23" spans="1:17" ht="16.2" thickBot="1" x14ac:dyDescent="0.35">
      <c r="A23" s="527">
        <f>SUM(A16:A22)</f>
        <v>28278.590000000011</v>
      </c>
      <c r="B23" s="617">
        <f>A22-C22</f>
        <v>0</v>
      </c>
      <c r="C23" s="194"/>
      <c r="E23" s="521" t="str">
        <f>'jaarekening 2016 begr 2017'!Q14</f>
        <v>*Basisonderwijs/st. Ronde Venen fonds</v>
      </c>
      <c r="F23" s="348">
        <f>'jaarekening 2016 begr 2017'!R14</f>
        <v>8</v>
      </c>
      <c r="G23" s="116"/>
      <c r="H23" s="409">
        <f t="shared" si="0"/>
        <v>1250</v>
      </c>
      <c r="I23" s="116">
        <f>'project 2019'!F148</f>
        <v>-2500</v>
      </c>
      <c r="J23" s="194">
        <f>'project 2019'!F155</f>
        <v>2250</v>
      </c>
      <c r="K23" s="237">
        <f>'project 2019'!F143</f>
        <v>1500</v>
      </c>
      <c r="L23" s="193" t="s">
        <v>438</v>
      </c>
      <c r="M23" s="51"/>
      <c r="N23" s="221"/>
      <c r="O23" s="348"/>
      <c r="P23" s="193"/>
      <c r="Q23" s="193"/>
    </row>
    <row r="24" spans="1:17" ht="15.6" x14ac:dyDescent="0.3">
      <c r="A24" s="422"/>
      <c r="B24" s="607"/>
      <c r="C24" s="194"/>
      <c r="E24" s="521" t="str">
        <f>'jaarekening 2016 begr 2017'!Q15</f>
        <v>*Stichting Doen/Oranjefonds</v>
      </c>
      <c r="F24" s="348">
        <f>'jaarekening 2016 begr 2017'!R15</f>
        <v>9</v>
      </c>
      <c r="G24" s="116"/>
      <c r="H24" s="409">
        <f t="shared" si="0"/>
        <v>48.66</v>
      </c>
      <c r="I24" s="193">
        <f>'project 2019'!F167</f>
        <v>0</v>
      </c>
      <c r="J24" s="194">
        <f>'project 2019'!F170</f>
        <v>0</v>
      </c>
      <c r="K24" s="237">
        <f>'project 2019'!F164</f>
        <v>48.66</v>
      </c>
      <c r="L24" s="193" t="s">
        <v>315</v>
      </c>
      <c r="M24" s="51"/>
      <c r="N24" s="221"/>
      <c r="O24" s="348"/>
      <c r="P24" s="193"/>
      <c r="Q24" s="193"/>
    </row>
    <row r="25" spans="1:17" x14ac:dyDescent="0.25">
      <c r="A25" s="328"/>
      <c r="B25" s="365"/>
      <c r="C25" s="194"/>
      <c r="E25" s="598" t="str">
        <f>'jaarekening 2016 begr 2017'!Q16</f>
        <v>*Rotary Vinkeveen</v>
      </c>
      <c r="F25" s="599">
        <f>'jaarekening 2016 begr 2017'!R16</f>
        <v>10</v>
      </c>
      <c r="G25" s="587"/>
      <c r="H25" s="600">
        <f t="shared" si="0"/>
        <v>0</v>
      </c>
      <c r="I25" s="587"/>
      <c r="J25" s="600"/>
      <c r="K25" s="601">
        <f>'project 2018 def'!F262</f>
        <v>0</v>
      </c>
      <c r="L25" s="602" t="s">
        <v>451</v>
      </c>
      <c r="M25" s="603"/>
      <c r="N25" s="221"/>
      <c r="O25" s="348"/>
      <c r="P25" s="193"/>
      <c r="Q25" s="193"/>
    </row>
    <row r="26" spans="1:17" ht="15.6" x14ac:dyDescent="0.3">
      <c r="A26" s="422">
        <f>A22-C22</f>
        <v>0</v>
      </c>
      <c r="B26" s="365"/>
      <c r="C26" s="194"/>
      <c r="E26" s="521" t="str">
        <f>'jaarekening 2016 begr 2017'!Q17</f>
        <v>*25 jarig bestaan</v>
      </c>
      <c r="F26" s="348">
        <f>'jaarekening 2016 begr 2017'!R17</f>
        <v>11</v>
      </c>
      <c r="G26" s="116"/>
      <c r="H26" s="539">
        <f t="shared" si="0"/>
        <v>0</v>
      </c>
      <c r="I26" s="116">
        <f>'project 2019'!F199</f>
        <v>-1369.42</v>
      </c>
      <c r="J26" s="231">
        <f>'project 2019'!F204</f>
        <v>5000</v>
      </c>
      <c r="K26" s="237">
        <f>'project 2019'!F194</f>
        <v>-3630.58</v>
      </c>
      <c r="L26" s="193" t="s">
        <v>316</v>
      </c>
      <c r="M26" s="51"/>
      <c r="N26" s="221"/>
      <c r="O26" s="348"/>
      <c r="P26" s="422"/>
      <c r="Q26" s="193"/>
    </row>
    <row r="27" spans="1:17" x14ac:dyDescent="0.25">
      <c r="A27" s="328"/>
      <c r="B27" s="365"/>
      <c r="C27" s="194"/>
      <c r="E27" s="521" t="str">
        <f>'jaarekening 2016 begr 2017'!Q18</f>
        <v>*Ontwikkeling NME (1)</v>
      </c>
      <c r="F27" s="348">
        <v>12</v>
      </c>
      <c r="G27" s="116"/>
      <c r="H27" s="409">
        <f t="shared" si="0"/>
        <v>2026</v>
      </c>
      <c r="I27" s="116">
        <f>'project 2019'!F217</f>
        <v>0</v>
      </c>
      <c r="J27" s="231">
        <f>'project 2019'!F222</f>
        <v>1100</v>
      </c>
      <c r="K27" s="237">
        <f>'project 2019'!F214</f>
        <v>926</v>
      </c>
      <c r="L27" s="193" t="s">
        <v>317</v>
      </c>
      <c r="M27" s="51"/>
      <c r="N27" s="221"/>
      <c r="O27" s="348"/>
      <c r="P27" s="193"/>
      <c r="Q27" s="193"/>
    </row>
    <row r="28" spans="1:17" ht="13.8" thickBot="1" x14ac:dyDescent="0.3">
      <c r="A28" s="422"/>
      <c r="B28" s="23"/>
      <c r="C28" s="194"/>
      <c r="E28" s="522" t="s">
        <v>347</v>
      </c>
      <c r="F28">
        <v>13</v>
      </c>
      <c r="G28" s="116"/>
      <c r="H28" s="409">
        <f>SUM(I28:K28)</f>
        <v>0</v>
      </c>
      <c r="I28" s="116">
        <f>'project 2019'!F238</f>
        <v>-279.06</v>
      </c>
      <c r="J28" s="231">
        <f>'project 2019'!F234</f>
        <v>279.06</v>
      </c>
      <c r="K28" s="619">
        <v>0</v>
      </c>
      <c r="L28" s="116" t="s">
        <v>450</v>
      </c>
      <c r="M28" s="194"/>
      <c r="N28" s="221"/>
      <c r="O28" s="221"/>
      <c r="P28" s="193"/>
      <c r="Q28" s="193"/>
    </row>
    <row r="29" spans="1:17" ht="13.8" thickBot="1" x14ac:dyDescent="0.3">
      <c r="A29" s="422">
        <f>A23-C30</f>
        <v>0</v>
      </c>
      <c r="B29" s="520"/>
      <c r="C29" s="196"/>
      <c r="E29" s="523" t="s">
        <v>163</v>
      </c>
      <c r="F29" s="86" t="s">
        <v>243</v>
      </c>
      <c r="G29" s="524">
        <f>H32-H30</f>
        <v>704.33000000000902</v>
      </c>
      <c r="H29" s="196"/>
      <c r="I29" s="116"/>
      <c r="J29" s="194"/>
      <c r="K29" s="524">
        <f>'project 2019'!F243</f>
        <v>704.3300000000072</v>
      </c>
      <c r="L29" s="193" t="s">
        <v>318</v>
      </c>
      <c r="M29" s="51"/>
      <c r="N29" s="7"/>
      <c r="O29" s="7"/>
      <c r="P29" s="193"/>
      <c r="Q29" s="193"/>
    </row>
    <row r="30" spans="1:17" ht="16.2" thickBot="1" x14ac:dyDescent="0.35">
      <c r="B30" s="185" t="s">
        <v>319</v>
      </c>
      <c r="C30" s="408">
        <f>SUM(C15:C29)</f>
        <v>28278.59</v>
      </c>
      <c r="D30" s="187"/>
      <c r="E30" s="185" t="s">
        <v>79</v>
      </c>
      <c r="F30" s="187"/>
      <c r="G30" s="186">
        <f>G29</f>
        <v>704.33000000000902</v>
      </c>
      <c r="H30" s="188">
        <f>SUM(H15:H29)</f>
        <v>27574.26</v>
      </c>
      <c r="I30" s="518">
        <f>SUM(I16:I29)</f>
        <v>-6979.0200000000013</v>
      </c>
      <c r="J30" s="188">
        <f>SUM(J16:J29)</f>
        <v>30599.15</v>
      </c>
      <c r="K30" s="239">
        <f>SUM(K15:K29)</f>
        <v>4658.4600000000073</v>
      </c>
      <c r="L30" s="195"/>
      <c r="M30" s="196"/>
      <c r="N30" s="116"/>
    </row>
    <row r="31" spans="1:17" ht="13.8" thickBot="1" x14ac:dyDescent="0.3">
      <c r="A31" s="116"/>
      <c r="B31" s="487"/>
      <c r="C31" s="488"/>
      <c r="G31" s="193"/>
      <c r="H31" s="116"/>
      <c r="I31" s="517"/>
      <c r="J31" s="517"/>
      <c r="K31" s="116"/>
      <c r="L31" s="116"/>
      <c r="M31" s="116"/>
    </row>
    <row r="32" spans="1:17" ht="17.399999999999999" x14ac:dyDescent="0.3">
      <c r="B32" s="426" t="s">
        <v>285</v>
      </c>
      <c r="C32" s="427">
        <f>H30</f>
        <v>27574.26</v>
      </c>
      <c r="E32" s="116"/>
      <c r="F32" s="7"/>
      <c r="G32" s="202" t="s">
        <v>453</v>
      </c>
      <c r="H32" s="202">
        <f>I30+J30+K30</f>
        <v>28278.590000000007</v>
      </c>
      <c r="I32" s="422"/>
      <c r="J32" s="116"/>
      <c r="K32" s="616"/>
      <c r="L32" s="423"/>
      <c r="N32" s="116"/>
    </row>
    <row r="33" spans="1:17" x14ac:dyDescent="0.25">
      <c r="A33" s="116">
        <f>A17-C17</f>
        <v>9.0949470177292824E-12</v>
      </c>
      <c r="B33" s="428"/>
      <c r="C33" s="407"/>
      <c r="E33" s="116"/>
      <c r="G33" s="193"/>
      <c r="H33" s="193"/>
      <c r="I33" s="116"/>
      <c r="J33" s="116"/>
      <c r="K33" s="424"/>
      <c r="L33" s="116"/>
      <c r="M33" t="s">
        <v>443</v>
      </c>
    </row>
    <row r="34" spans="1:17" x14ac:dyDescent="0.25">
      <c r="A34" s="116"/>
      <c r="B34" s="429" t="s">
        <v>311</v>
      </c>
      <c r="C34" s="407">
        <f>G29</f>
        <v>704.33000000000902</v>
      </c>
      <c r="E34" s="116"/>
      <c r="G34" s="116"/>
      <c r="H34" s="193"/>
      <c r="J34" s="116"/>
      <c r="L34" s="116"/>
      <c r="M34" t="s">
        <v>444</v>
      </c>
      <c r="N34">
        <v>2500</v>
      </c>
      <c r="O34" t="s">
        <v>445</v>
      </c>
    </row>
    <row r="35" spans="1:17" ht="13.8" thickBot="1" x14ac:dyDescent="0.3">
      <c r="B35" s="167"/>
      <c r="C35" s="407"/>
      <c r="E35" s="116"/>
      <c r="G35" s="116"/>
      <c r="H35" s="7"/>
      <c r="I35" s="116"/>
      <c r="J35" s="116"/>
      <c r="K35" s="116"/>
      <c r="M35" t="s">
        <v>446</v>
      </c>
      <c r="N35">
        <v>2500</v>
      </c>
      <c r="O35" t="s">
        <v>447</v>
      </c>
    </row>
    <row r="36" spans="1:17" ht="13.8" thickBot="1" x14ac:dyDescent="0.3">
      <c r="A36" s="116"/>
      <c r="B36" s="462" t="s">
        <v>98</v>
      </c>
      <c r="C36" s="463">
        <f>C32+C34</f>
        <v>28278.590000000007</v>
      </c>
      <c r="E36" s="116"/>
      <c r="G36" s="116"/>
      <c r="H36" s="116"/>
      <c r="I36" s="116"/>
      <c r="J36" s="116"/>
      <c r="K36" s="422"/>
    </row>
    <row r="37" spans="1:17" x14ac:dyDescent="0.25">
      <c r="E37" s="116"/>
      <c r="H37" s="116"/>
      <c r="I37" s="116"/>
      <c r="J37" s="116"/>
      <c r="M37" t="s">
        <v>442</v>
      </c>
      <c r="N37">
        <v>5000</v>
      </c>
      <c r="P37">
        <v>5000</v>
      </c>
      <c r="Q37" t="s">
        <v>448</v>
      </c>
    </row>
    <row r="38" spans="1:17" x14ac:dyDescent="0.25">
      <c r="C38" s="116"/>
      <c r="E38" s="116"/>
      <c r="I38" s="116"/>
      <c r="J38" s="116"/>
    </row>
    <row r="39" spans="1:17" ht="17.399999999999999" x14ac:dyDescent="0.3">
      <c r="E39" s="116"/>
      <c r="G39" s="116"/>
      <c r="H39" s="116"/>
      <c r="I39" s="116"/>
      <c r="J39" s="116"/>
      <c r="K39" s="423"/>
    </row>
    <row r="40" spans="1:17" x14ac:dyDescent="0.25">
      <c r="E40" s="116"/>
      <c r="I40" s="116"/>
      <c r="J40" s="116"/>
    </row>
    <row r="41" spans="1:17" x14ac:dyDescent="0.25">
      <c r="E41" s="116"/>
      <c r="I41" s="116"/>
      <c r="K41" s="116"/>
    </row>
    <row r="42" spans="1:17" x14ac:dyDescent="0.25">
      <c r="E42" s="116"/>
      <c r="I42" s="116"/>
    </row>
    <row r="43" spans="1:17" x14ac:dyDescent="0.25">
      <c r="H43" s="116"/>
      <c r="I43" s="116"/>
    </row>
    <row r="45" spans="1:17" x14ac:dyDescent="0.25">
      <c r="I45" s="116"/>
    </row>
    <row r="46" spans="1:17" x14ac:dyDescent="0.25">
      <c r="I46" s="116"/>
    </row>
  </sheetData>
  <pageMargins left="0.7" right="0.7" top="0.75" bottom="0.75" header="0.3" footer="0.3"/>
  <pageSetup paperSize="9" scale="53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AD9CE-81BE-424E-8071-68EF1843AC7D}">
  <sheetPr>
    <pageSetUpPr fitToPage="1"/>
  </sheetPr>
  <dimension ref="A1:K46"/>
  <sheetViews>
    <sheetView tabSelected="1" workbookViewId="0">
      <selection activeCell="A23" sqref="A23:I23"/>
    </sheetView>
  </sheetViews>
  <sheetFormatPr defaultRowHeight="13.2" x14ac:dyDescent="0.25"/>
  <cols>
    <col min="1" max="1" width="33.44140625" customWidth="1"/>
    <col min="2" max="2" width="6.33203125" customWidth="1"/>
    <col min="3" max="4" width="20" customWidth="1"/>
    <col min="5" max="5" width="6.5546875" customWidth="1"/>
    <col min="6" max="6" width="35" customWidth="1"/>
    <col min="7" max="7" width="7.88671875" customWidth="1"/>
    <col min="8" max="8" width="16" customWidth="1"/>
    <col min="9" max="9" width="17" customWidth="1"/>
  </cols>
  <sheetData>
    <row r="1" spans="1:11" ht="18" thickBot="1" x14ac:dyDescent="0.35">
      <c r="A1" s="257" t="s">
        <v>168</v>
      </c>
      <c r="B1" s="258"/>
      <c r="C1" s="258"/>
      <c r="D1" s="258"/>
      <c r="E1" s="259"/>
      <c r="F1" s="260"/>
      <c r="G1" s="260"/>
      <c r="H1" s="260"/>
      <c r="I1" s="718"/>
    </row>
    <row r="2" spans="1:11" ht="21.6" thickBot="1" x14ac:dyDescent="0.45">
      <c r="A2" s="811" t="s">
        <v>742</v>
      </c>
      <c r="B2" s="31"/>
      <c r="C2" s="590" t="s">
        <v>743</v>
      </c>
      <c r="D2" s="590"/>
      <c r="E2" s="620"/>
      <c r="F2" s="812"/>
      <c r="G2" s="812"/>
      <c r="H2" s="812"/>
      <c r="I2" s="813"/>
    </row>
    <row r="3" spans="1:11" ht="15" x14ac:dyDescent="0.25">
      <c r="A3" s="269"/>
      <c r="B3" s="270"/>
      <c r="C3" s="270"/>
      <c r="D3" s="270"/>
      <c r="E3" s="271"/>
      <c r="F3" s="272"/>
      <c r="G3" s="272"/>
      <c r="H3" s="272"/>
      <c r="I3" s="453"/>
    </row>
    <row r="4" spans="1:11" ht="15.6" x14ac:dyDescent="0.3">
      <c r="A4" s="838" t="s">
        <v>748</v>
      </c>
      <c r="B4" s="839"/>
      <c r="C4" s="839"/>
      <c r="D4" s="839"/>
      <c r="E4" s="839"/>
      <c r="F4" s="839"/>
      <c r="G4" s="839"/>
      <c r="H4" s="839"/>
      <c r="I4" s="840"/>
      <c r="K4" t="s">
        <v>750</v>
      </c>
    </row>
    <row r="5" spans="1:11" ht="15" x14ac:dyDescent="0.25">
      <c r="A5" s="279" t="s">
        <v>173</v>
      </c>
      <c r="B5" s="6"/>
      <c r="C5" s="6"/>
      <c r="D5" s="6"/>
      <c r="E5" s="4"/>
      <c r="F5" s="219" t="s">
        <v>174</v>
      </c>
      <c r="G5" s="219"/>
      <c r="H5" s="219"/>
      <c r="I5" s="454"/>
    </row>
    <row r="6" spans="1:11" ht="15" x14ac:dyDescent="0.25">
      <c r="A6" s="192"/>
      <c r="B6" s="7"/>
      <c r="C6" s="220">
        <v>45657</v>
      </c>
      <c r="D6" s="220">
        <v>45291</v>
      </c>
      <c r="E6" s="4"/>
      <c r="F6" s="285"/>
      <c r="G6" s="285"/>
      <c r="H6" s="220">
        <v>45657</v>
      </c>
      <c r="I6" s="286">
        <v>45291</v>
      </c>
    </row>
    <row r="7" spans="1:11" ht="15" x14ac:dyDescent="0.25">
      <c r="A7" s="192"/>
      <c r="B7" s="7"/>
      <c r="D7" s="7"/>
      <c r="E7" s="4"/>
      <c r="F7" s="285"/>
      <c r="G7" s="285"/>
      <c r="I7" s="51"/>
    </row>
    <row r="8" spans="1:11" ht="15" x14ac:dyDescent="0.25">
      <c r="A8" s="192" t="s">
        <v>522</v>
      </c>
      <c r="B8" s="7"/>
      <c r="C8" s="116">
        <f>'31 dec 2020'!C13</f>
        <v>0</v>
      </c>
      <c r="D8" s="193">
        <v>0</v>
      </c>
      <c r="E8" s="4"/>
      <c r="F8" s="343" t="s">
        <v>631</v>
      </c>
      <c r="G8" s="343"/>
      <c r="H8" s="343">
        <f>'pr 2024 uitgbr'!F196</f>
        <v>441.41</v>
      </c>
      <c r="I8" s="456">
        <f>'proj 2023'!F271</f>
        <v>607.730000000009</v>
      </c>
    </row>
    <row r="9" spans="1:11" ht="15" x14ac:dyDescent="0.25">
      <c r="A9" s="192" t="s">
        <v>293</v>
      </c>
      <c r="B9" s="7"/>
      <c r="C9" s="116">
        <f>'31 dec 2024'!C12</f>
        <v>13669.289999999999</v>
      </c>
      <c r="D9" s="193">
        <f>'31 dec 2023'!C12</f>
        <v>10474.35</v>
      </c>
      <c r="E9" s="4"/>
      <c r="F9" s="221"/>
      <c r="G9" s="221"/>
      <c r="I9" s="51"/>
    </row>
    <row r="10" spans="1:11" ht="15" x14ac:dyDescent="0.25">
      <c r="A10" s="365"/>
      <c r="C10" s="116"/>
      <c r="D10" s="193"/>
      <c r="E10" s="4"/>
      <c r="F10" s="221"/>
      <c r="G10" s="348"/>
      <c r="H10" s="773"/>
      <c r="I10" s="814"/>
    </row>
    <row r="11" spans="1:11" ht="15" x14ac:dyDescent="0.25">
      <c r="A11" s="23"/>
      <c r="C11" s="116"/>
      <c r="D11" s="193"/>
      <c r="E11" s="4"/>
      <c r="F11" s="221" t="str">
        <f>'31 dec 2019'!E19</f>
        <v>*Reservering diversen</v>
      </c>
      <c r="G11" s="348">
        <f>'31 dec 2019'!F19</f>
        <v>4</v>
      </c>
      <c r="H11" s="116">
        <f>'pr 2024 uitgbr'!F27</f>
        <v>0</v>
      </c>
      <c r="I11" s="194">
        <f>'proj 2023'!F64</f>
        <v>0</v>
      </c>
    </row>
    <row r="12" spans="1:11" ht="15" x14ac:dyDescent="0.25">
      <c r="A12" s="192" t="s">
        <v>73</v>
      </c>
      <c r="B12" s="7"/>
      <c r="C12" s="116">
        <f>'31 dec 2024'!C17</f>
        <v>10336.130000000001</v>
      </c>
      <c r="D12" s="193">
        <f>'31 dec 2023'!C17</f>
        <v>10223.75</v>
      </c>
      <c r="E12" s="4"/>
      <c r="F12" s="221"/>
      <c r="G12" s="348"/>
      <c r="H12" s="422"/>
      <c r="I12" s="815"/>
    </row>
    <row r="13" spans="1:11" ht="15" x14ac:dyDescent="0.25">
      <c r="A13" s="365"/>
      <c r="B13" s="116"/>
      <c r="C13" s="193"/>
      <c r="E13" s="4"/>
      <c r="F13" s="221" t="str">
        <f>'proj 2024 jr'!B10</f>
        <v>50 dingen boekje</v>
      </c>
      <c r="G13" s="348">
        <f>'31 dec 2019'!F22</f>
        <v>7</v>
      </c>
      <c r="H13" s="193">
        <f>'pr 2024 uitgbr'!F54</f>
        <v>10336.130000000001</v>
      </c>
      <c r="I13" s="231">
        <f>'proj 2023'!F108</f>
        <v>10223.750000000004</v>
      </c>
    </row>
    <row r="14" spans="1:11" ht="15" x14ac:dyDescent="0.25">
      <c r="A14" s="23"/>
      <c r="E14" s="4"/>
      <c r="F14" s="221" t="str">
        <f>'proj 2024 jr'!B36</f>
        <v>Basis onderwijs</v>
      </c>
      <c r="G14" s="348">
        <f>'31 dec 2019'!F23</f>
        <v>8</v>
      </c>
      <c r="H14" s="193">
        <f>'pr 2024 uitgbr'!F80</f>
        <v>969.70999999999958</v>
      </c>
      <c r="I14" s="231">
        <f>'proj 2023'!F149</f>
        <v>969.70999999999958</v>
      </c>
    </row>
    <row r="15" spans="1:11" ht="15" x14ac:dyDescent="0.25">
      <c r="A15" s="192"/>
      <c r="B15" s="7"/>
      <c r="C15" s="7"/>
      <c r="E15" s="4"/>
      <c r="F15" s="221" t="str">
        <f>'proj 2024 jr'!B60</f>
        <v>Tentoonstelling 2025</v>
      </c>
      <c r="G15" s="348">
        <v>9</v>
      </c>
      <c r="H15" s="193">
        <f>'proj 2024 jr'!F70</f>
        <v>5000</v>
      </c>
      <c r="I15" s="231">
        <f>'proj 2024 jr'!F61</f>
        <v>0</v>
      </c>
    </row>
    <row r="16" spans="1:11" ht="15" x14ac:dyDescent="0.25">
      <c r="A16" s="192"/>
      <c r="B16" s="7"/>
      <c r="C16" s="7"/>
      <c r="E16" s="4"/>
      <c r="F16" s="221"/>
      <c r="G16" s="348"/>
      <c r="H16" s="116"/>
      <c r="I16" s="194"/>
    </row>
    <row r="17" spans="1:9" ht="15" x14ac:dyDescent="0.25">
      <c r="A17" s="192"/>
      <c r="B17" s="7"/>
      <c r="C17" s="7"/>
      <c r="E17" s="4"/>
      <c r="F17" s="221" t="str">
        <f>'proj 2024 jr'!B73</f>
        <v>Stimulering NME</v>
      </c>
      <c r="G17" s="348">
        <f>'31 dec 2019'!F27</f>
        <v>12</v>
      </c>
      <c r="H17" s="116">
        <f>'pr 2024 uitgbr'!F114</f>
        <v>589.88000000000011</v>
      </c>
      <c r="I17" s="194">
        <f>'proj 2023'!F182</f>
        <v>589.88000000000011</v>
      </c>
    </row>
    <row r="18" spans="1:9" ht="15" x14ac:dyDescent="0.25">
      <c r="A18" s="192"/>
      <c r="B18" s="7"/>
      <c r="C18" s="7"/>
      <c r="E18" s="4"/>
      <c r="F18" s="221" t="str">
        <f>'proj 2024 jr'!B100</f>
        <v>Klimaat adaptieve tuin</v>
      </c>
      <c r="G18" s="348">
        <v>14</v>
      </c>
      <c r="H18" s="116">
        <f>'pr 2024 uitgbr'!F157</f>
        <v>6668.2899999999991</v>
      </c>
      <c r="I18" s="194">
        <f>'proj 2023'!F252</f>
        <v>8307.0299999999988</v>
      </c>
    </row>
    <row r="19" spans="1:9" ht="15.6" thickBot="1" x14ac:dyDescent="0.3">
      <c r="A19" s="309"/>
      <c r="B19" s="310"/>
      <c r="C19" s="310"/>
      <c r="D19" s="215"/>
      <c r="E19" s="311"/>
      <c r="F19" s="319"/>
      <c r="G19" s="767"/>
      <c r="H19" s="195"/>
      <c r="I19" s="196"/>
    </row>
    <row r="20" spans="1:9" ht="15" x14ac:dyDescent="0.25">
      <c r="A20" s="406" t="s">
        <v>205</v>
      </c>
      <c r="B20" s="193"/>
      <c r="C20" s="193">
        <f>SUM(C8:C14)</f>
        <v>24005.42</v>
      </c>
      <c r="D20" s="193">
        <f>SUM(D8:D13)</f>
        <v>20698.099999999999</v>
      </c>
      <c r="E20" s="4"/>
      <c r="F20" s="7"/>
      <c r="G20" s="7"/>
      <c r="H20" s="193">
        <f>C20</f>
        <v>24005.42</v>
      </c>
      <c r="I20" s="231">
        <f>D20</f>
        <v>20698.099999999999</v>
      </c>
    </row>
    <row r="21" spans="1:9" ht="15" x14ac:dyDescent="0.25">
      <c r="A21" s="192"/>
      <c r="B21" s="7"/>
      <c r="C21" s="7"/>
      <c r="D21" s="7"/>
      <c r="E21" s="4"/>
      <c r="F21" s="193"/>
      <c r="G21" s="7"/>
      <c r="H21" s="7"/>
      <c r="I21" s="191"/>
    </row>
    <row r="22" spans="1:9" ht="15.6" thickBot="1" x14ac:dyDescent="0.3">
      <c r="A22" s="309" t="s">
        <v>412</v>
      </c>
      <c r="B22" s="215"/>
      <c r="C22" s="215"/>
      <c r="D22" s="195"/>
      <c r="E22" s="311"/>
      <c r="F22" s="310"/>
      <c r="G22" s="310"/>
      <c r="H22" s="319"/>
      <c r="I22" s="579"/>
    </row>
    <row r="23" spans="1:9" ht="15.6" x14ac:dyDescent="0.3">
      <c r="A23" s="838"/>
      <c r="B23" s="839"/>
      <c r="C23" s="839"/>
      <c r="D23" s="839"/>
      <c r="E23" s="839"/>
      <c r="F23" s="839"/>
      <c r="G23" s="839"/>
      <c r="H23" s="839"/>
      <c r="I23" s="839"/>
    </row>
    <row r="24" spans="1:9" ht="13.8" x14ac:dyDescent="0.25">
      <c r="A24" s="321"/>
      <c r="B24" s="322"/>
      <c r="C24" s="799">
        <f>'31 dec 2024'!C25</f>
        <v>24005.42</v>
      </c>
      <c r="D24" s="799">
        <f>'jaarek 2023'!C20</f>
        <v>20698.100000000013</v>
      </c>
      <c r="E24" s="324"/>
      <c r="F24" s="219"/>
      <c r="G24" s="219"/>
      <c r="H24" s="219">
        <f>SUM(H8:H18)</f>
        <v>24005.42</v>
      </c>
      <c r="I24" s="219">
        <f>SUM(I8:I18)</f>
        <v>20698.100000000009</v>
      </c>
    </row>
    <row r="25" spans="1:9" x14ac:dyDescent="0.25">
      <c r="H25" s="116"/>
    </row>
    <row r="26" spans="1:9" ht="13.8" thickBot="1" x14ac:dyDescent="0.3"/>
    <row r="27" spans="1:9" ht="15.6" x14ac:dyDescent="0.3">
      <c r="A27" s="841" t="s">
        <v>744</v>
      </c>
      <c r="B27" s="842"/>
      <c r="C27" s="842"/>
      <c r="D27" s="842"/>
      <c r="E27" s="842"/>
      <c r="F27" s="842"/>
      <c r="G27" s="842"/>
      <c r="H27" s="842"/>
      <c r="I27" s="843"/>
    </row>
    <row r="28" spans="1:9" ht="13.8" x14ac:dyDescent="0.25">
      <c r="A28" s="321" t="s">
        <v>175</v>
      </c>
      <c r="B28" s="322"/>
      <c r="C28" s="322" t="str">
        <f>A28</f>
        <v>Inkomsten</v>
      </c>
      <c r="D28" s="322"/>
      <c r="E28" s="324"/>
      <c r="F28" s="219" t="s">
        <v>176</v>
      </c>
      <c r="G28" s="219"/>
      <c r="H28" s="219" t="str">
        <f>F28</f>
        <v>Uitgaven</v>
      </c>
      <c r="I28" s="454"/>
    </row>
    <row r="29" spans="1:9" x14ac:dyDescent="0.25">
      <c r="A29" s="23"/>
      <c r="C29">
        <v>2024</v>
      </c>
      <c r="D29">
        <v>2023</v>
      </c>
      <c r="E29" s="224"/>
      <c r="H29">
        <v>2024</v>
      </c>
      <c r="I29" s="51">
        <v>2023</v>
      </c>
    </row>
    <row r="30" spans="1:9" ht="13.8" x14ac:dyDescent="0.25">
      <c r="A30" s="42"/>
      <c r="B30" s="1"/>
      <c r="F30" s="7"/>
      <c r="G30" s="1"/>
      <c r="H30" s="116"/>
      <c r="I30" s="194"/>
    </row>
    <row r="31" spans="1:9" x14ac:dyDescent="0.25">
      <c r="A31" s="192" t="s">
        <v>67</v>
      </c>
      <c r="B31" s="7" t="s">
        <v>112</v>
      </c>
      <c r="C31" s="116">
        <v>0</v>
      </c>
      <c r="D31" s="116">
        <v>0</v>
      </c>
      <c r="E31" s="7"/>
      <c r="F31" s="7" t="s">
        <v>211</v>
      </c>
      <c r="G31" s="7" t="s">
        <v>112</v>
      </c>
      <c r="H31" s="116">
        <f>'pr 2024 uitgbr'!F27</f>
        <v>0</v>
      </c>
      <c r="I31" s="194">
        <f>'proj 2023'!F58</f>
        <v>-174.01999999999998</v>
      </c>
    </row>
    <row r="32" spans="1:9" x14ac:dyDescent="0.25">
      <c r="A32" s="192"/>
      <c r="B32" s="7"/>
      <c r="D32" s="116"/>
      <c r="E32" s="7"/>
      <c r="F32" s="834" t="str">
        <f>'project 2020'!B41</f>
        <v>Herinrichting Ruimte</v>
      </c>
      <c r="G32" s="834" t="s">
        <v>585</v>
      </c>
      <c r="H32" s="116"/>
      <c r="I32" s="194"/>
    </row>
    <row r="33" spans="1:9" x14ac:dyDescent="0.25">
      <c r="A33" s="25" t="s">
        <v>83</v>
      </c>
      <c r="B33" t="s">
        <v>115</v>
      </c>
      <c r="C33" s="193">
        <f>'pr 2024 uitgbr'!F53</f>
        <v>112.38</v>
      </c>
      <c r="D33" s="116">
        <f>'proj 2023'!F107</f>
        <v>3.37</v>
      </c>
      <c r="E33" s="7"/>
      <c r="F33" s="7" t="s">
        <v>83</v>
      </c>
      <c r="G33" t="s">
        <v>115</v>
      </c>
      <c r="H33" s="116">
        <f>'pr 2024 uitgbr'!F49</f>
        <v>0</v>
      </c>
      <c r="I33" s="194">
        <f>'proj 2023'!F102</f>
        <v>-644.15</v>
      </c>
    </row>
    <row r="34" spans="1:9" x14ac:dyDescent="0.25">
      <c r="A34" s="192" t="s">
        <v>88</v>
      </c>
      <c r="B34" t="s">
        <v>116</v>
      </c>
      <c r="C34" s="193">
        <f>'pr 2024 uitgbr'!F79</f>
        <v>0</v>
      </c>
      <c r="D34" s="116">
        <f>'proj 2023'!F148</f>
        <v>4376</v>
      </c>
      <c r="E34" s="7"/>
      <c r="F34" s="284" t="s">
        <v>153</v>
      </c>
      <c r="G34" t="s">
        <v>116</v>
      </c>
      <c r="H34" s="116">
        <f>'pr 2024 uitgbr'!F76</f>
        <v>0</v>
      </c>
      <c r="I34" s="194">
        <f>'proj 2023'!F143</f>
        <v>-6589.4400000000005</v>
      </c>
    </row>
    <row r="35" spans="1:9" x14ac:dyDescent="0.25">
      <c r="A35" s="192"/>
      <c r="C35" s="116"/>
      <c r="D35" s="116"/>
      <c r="E35" s="7"/>
      <c r="F35" s="284"/>
      <c r="H35" s="106"/>
      <c r="I35" s="816"/>
    </row>
    <row r="36" spans="1:9" x14ac:dyDescent="0.25">
      <c r="A36" s="344" t="s">
        <v>226</v>
      </c>
      <c r="B36" t="s">
        <v>141</v>
      </c>
      <c r="C36" s="193">
        <f>'pr 2024 uitgbr'!F113</f>
        <v>0</v>
      </c>
      <c r="D36" s="116">
        <f>'proj 2023'!F181</f>
        <v>14</v>
      </c>
      <c r="E36" s="7"/>
      <c r="F36" s="7" t="s">
        <v>226</v>
      </c>
      <c r="G36" s="7" t="s">
        <v>141</v>
      </c>
      <c r="H36" s="116">
        <f>'pr 2024 uitgbr'!F109</f>
        <v>0</v>
      </c>
      <c r="I36" s="194">
        <f>'proj 2023'!F177</f>
        <v>-2274</v>
      </c>
    </row>
    <row r="37" spans="1:9" x14ac:dyDescent="0.25">
      <c r="A37" s="344" t="s">
        <v>518</v>
      </c>
      <c r="B37" s="7" t="s">
        <v>520</v>
      </c>
      <c r="C37" s="116">
        <v>0</v>
      </c>
      <c r="D37" s="116">
        <f>'proj 2023'!F227</f>
        <v>0</v>
      </c>
      <c r="E37" s="221"/>
      <c r="F37" t="str">
        <f>'31 dec 2019'!E28</f>
        <v>Izettle</v>
      </c>
      <c r="G37" s="7" t="s">
        <v>520</v>
      </c>
      <c r="H37" s="116">
        <f>'pr 2024 uitgbr'!F118</f>
        <v>0</v>
      </c>
      <c r="I37" s="194">
        <f>'proj 2023'!F227</f>
        <v>0</v>
      </c>
    </row>
    <row r="38" spans="1:9" x14ac:dyDescent="0.25">
      <c r="A38" s="768" t="s">
        <v>691</v>
      </c>
      <c r="B38" s="641" t="str">
        <f>'31 dec 2023'!F20</f>
        <v>nr 14</v>
      </c>
      <c r="C38" s="116">
        <f>'pr 2024 uitgbr'!F156</f>
        <v>12286</v>
      </c>
      <c r="D38" s="835">
        <f>'proj 2023'!F250</f>
        <v>15077.49</v>
      </c>
      <c r="E38" s="298"/>
      <c r="F38" s="295" t="str">
        <f>'proj 2023'!B231</f>
        <v>Klimaat adaptieve tuin</v>
      </c>
      <c r="G38" s="295" t="s">
        <v>692</v>
      </c>
      <c r="H38" s="819">
        <f>'pr 2024 uitgbr'!F152</f>
        <v>-13924.74</v>
      </c>
      <c r="I38" s="818">
        <f>'proj 2023'!F239</f>
        <v>-6770.46</v>
      </c>
    </row>
    <row r="39" spans="1:9" ht="15.6" x14ac:dyDescent="0.3">
      <c r="A39" s="769" t="s">
        <v>219</v>
      </c>
      <c r="B39" s="646"/>
      <c r="C39" s="647">
        <f>SUM(C31:C38)</f>
        <v>12398.38</v>
      </c>
      <c r="D39" s="647">
        <f>SUM(D31:D38)</f>
        <v>19470.86</v>
      </c>
      <c r="E39" s="648"/>
      <c r="F39" s="646" t="s">
        <v>218</v>
      </c>
      <c r="G39" s="646"/>
      <c r="H39" s="649">
        <f>SUM(H30:H38)</f>
        <v>-13924.74</v>
      </c>
      <c r="I39" s="649">
        <f>SUM(I30:I38)</f>
        <v>-16452.07</v>
      </c>
    </row>
    <row r="40" spans="1:9" ht="15.6" x14ac:dyDescent="0.3">
      <c r="A40" s="23"/>
      <c r="E40" s="221"/>
      <c r="F40" s="346" t="s">
        <v>745</v>
      </c>
      <c r="G40" s="346"/>
      <c r="H40" s="347">
        <f>C39+H39</f>
        <v>-1526.3600000000006</v>
      </c>
      <c r="I40" s="582"/>
    </row>
    <row r="41" spans="1:9" ht="13.8" x14ac:dyDescent="0.25">
      <c r="A41" s="192"/>
      <c r="C41" s="116"/>
      <c r="E41" s="221"/>
      <c r="F41" s="1" t="s">
        <v>703</v>
      </c>
      <c r="G41" s="1"/>
      <c r="H41" s="629"/>
      <c r="I41" s="771">
        <f>D39+I39</f>
        <v>3018.7900000000009</v>
      </c>
    </row>
    <row r="42" spans="1:9" x14ac:dyDescent="0.25">
      <c r="A42" s="768"/>
      <c r="B42" s="641"/>
      <c r="C42" s="641"/>
      <c r="D42" s="296"/>
      <c r="E42" s="298"/>
      <c r="F42" s="641"/>
      <c r="G42" s="641"/>
      <c r="H42" s="641"/>
      <c r="I42" s="772"/>
    </row>
    <row r="43" spans="1:9" ht="13.8" x14ac:dyDescent="0.25">
      <c r="A43" s="42"/>
      <c r="B43" s="1"/>
      <c r="C43" s="1"/>
      <c r="D43" s="1"/>
      <c r="E43" s="324"/>
      <c r="H43" s="116"/>
      <c r="I43" s="194"/>
    </row>
    <row r="44" spans="1:9" ht="15" x14ac:dyDescent="0.25">
      <c r="A44" s="844" t="s">
        <v>200</v>
      </c>
      <c r="B44" s="845"/>
      <c r="C44" s="845"/>
      <c r="D44" s="845"/>
      <c r="E44" s="845"/>
      <c r="F44" s="845"/>
      <c r="G44" s="845"/>
      <c r="H44" s="845"/>
      <c r="I44" s="846"/>
    </row>
    <row r="45" spans="1:9" ht="13.8" x14ac:dyDescent="0.25">
      <c r="A45" s="337"/>
      <c r="B45" s="338"/>
      <c r="C45" s="338"/>
      <c r="D45" s="338"/>
      <c r="E45" s="324"/>
      <c r="I45" s="799"/>
    </row>
    <row r="46" spans="1:9" x14ac:dyDescent="0.25">
      <c r="A46" s="847" t="s">
        <v>201</v>
      </c>
      <c r="B46" s="848"/>
      <c r="C46" s="848"/>
      <c r="D46" s="848"/>
      <c r="E46" s="848"/>
      <c r="F46" s="848"/>
      <c r="G46" s="848"/>
      <c r="H46" s="848"/>
      <c r="I46" s="849"/>
    </row>
  </sheetData>
  <mergeCells count="5">
    <mergeCell ref="A4:I4"/>
    <mergeCell ref="A23:I23"/>
    <mergeCell ref="A27:I27"/>
    <mergeCell ref="A44:I44"/>
    <mergeCell ref="A46:I46"/>
  </mergeCells>
  <pageMargins left="0.7" right="0.7" top="0.75" bottom="0.75" header="0.3" footer="0.3"/>
  <pageSetup paperSize="9" scale="71" orientation="landscape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246"/>
  <sheetViews>
    <sheetView topLeftCell="A167" workbookViewId="0">
      <selection activeCell="B176" sqref="B176:K206"/>
    </sheetView>
  </sheetViews>
  <sheetFormatPr defaultRowHeight="13.2" x14ac:dyDescent="0.25"/>
  <cols>
    <col min="2" max="2" width="14.88671875" customWidth="1"/>
    <col min="3" max="3" width="11.88671875" customWidth="1"/>
    <col min="4" max="4" width="13.44140625" customWidth="1"/>
    <col min="5" max="6" width="17.6640625" customWidth="1"/>
    <col min="7" max="7" width="3.88671875" customWidth="1"/>
    <col min="8" max="8" width="17.109375" customWidth="1"/>
    <col min="9" max="9" width="18.5546875" customWidth="1"/>
    <col min="10" max="10" width="22.44140625" customWidth="1"/>
    <col min="11" max="11" width="16" customWidth="1"/>
  </cols>
  <sheetData>
    <row r="1" spans="2:11" ht="21" x14ac:dyDescent="0.4">
      <c r="B1" s="150" t="s">
        <v>419</v>
      </c>
      <c r="H1" t="s">
        <v>360</v>
      </c>
    </row>
    <row r="2" spans="2:11" ht="17.399999999999999" x14ac:dyDescent="0.3">
      <c r="B2" s="250">
        <f>'31 dec 2019'!C7</f>
        <v>43830</v>
      </c>
    </row>
    <row r="4" spans="2:11" ht="13.8" thickBot="1" x14ac:dyDescent="0.3"/>
    <row r="5" spans="2:11" ht="13.8" thickBot="1" x14ac:dyDescent="0.3">
      <c r="B5" s="368" t="s">
        <v>130</v>
      </c>
      <c r="C5" s="369"/>
      <c r="D5" s="370"/>
    </row>
    <row r="6" spans="2:11" ht="15.6" x14ac:dyDescent="0.3">
      <c r="B6" s="223" t="s">
        <v>1</v>
      </c>
      <c r="C6" s="376"/>
      <c r="D6" s="376"/>
      <c r="E6" s="199" t="s">
        <v>110</v>
      </c>
      <c r="F6" s="153" t="s">
        <v>129</v>
      </c>
    </row>
    <row r="7" spans="2:11" ht="15.6" x14ac:dyDescent="0.3">
      <c r="B7" s="507">
        <v>43465</v>
      </c>
      <c r="C7" s="508" t="s">
        <v>2</v>
      </c>
      <c r="D7" s="508"/>
      <c r="E7" s="508"/>
      <c r="F7" s="104">
        <v>0</v>
      </c>
      <c r="G7" s="501"/>
      <c r="H7" s="226" t="s">
        <v>393</v>
      </c>
      <c r="I7" s="168"/>
      <c r="J7" s="168"/>
      <c r="K7" s="168"/>
    </row>
    <row r="8" spans="2:11" ht="15.6" x14ac:dyDescent="0.3">
      <c r="B8" s="377"/>
      <c r="C8" s="415" t="s">
        <v>424</v>
      </c>
      <c r="D8" s="415"/>
      <c r="E8" s="415"/>
      <c r="F8" s="172"/>
      <c r="G8" s="501"/>
      <c r="H8" s="226"/>
      <c r="I8" s="168"/>
      <c r="J8" s="168"/>
      <c r="K8" s="168"/>
    </row>
    <row r="9" spans="2:11" ht="15.6" x14ac:dyDescent="0.3">
      <c r="B9" s="377"/>
      <c r="C9" s="415"/>
      <c r="D9" s="415"/>
      <c r="E9" s="415"/>
      <c r="F9" s="172"/>
      <c r="G9" s="501"/>
      <c r="H9" s="226"/>
      <c r="I9" s="168"/>
      <c r="J9" s="168"/>
      <c r="K9" s="168"/>
    </row>
    <row r="10" spans="2:11" ht="15.6" x14ac:dyDescent="0.3">
      <c r="B10" s="377"/>
      <c r="C10" s="415" t="s">
        <v>425</v>
      </c>
      <c r="D10" s="415"/>
      <c r="E10" s="415"/>
      <c r="F10" s="172">
        <f>SUM(F8:F9)</f>
        <v>0</v>
      </c>
      <c r="G10" s="501"/>
      <c r="H10" s="226"/>
      <c r="I10" s="168"/>
      <c r="J10" s="168"/>
      <c r="K10" s="168"/>
    </row>
    <row r="11" spans="2:11" ht="15.6" x14ac:dyDescent="0.3">
      <c r="B11" s="377"/>
      <c r="C11" s="415" t="s">
        <v>426</v>
      </c>
      <c r="D11" s="415"/>
      <c r="E11" s="415"/>
      <c r="F11" s="172"/>
      <c r="G11" s="501"/>
      <c r="H11" s="226"/>
      <c r="I11" s="168"/>
      <c r="J11" s="168"/>
      <c r="K11" s="168"/>
    </row>
    <row r="12" spans="2:11" ht="15.6" x14ac:dyDescent="0.3">
      <c r="B12" s="377">
        <v>43466</v>
      </c>
      <c r="C12" s="415" t="s">
        <v>59</v>
      </c>
      <c r="D12" s="415"/>
      <c r="E12" s="415"/>
      <c r="F12" s="172">
        <v>0.02</v>
      </c>
      <c r="G12" s="501"/>
      <c r="H12" s="226" t="s">
        <v>457</v>
      </c>
      <c r="I12" s="168"/>
      <c r="J12" s="168"/>
      <c r="K12" s="168"/>
    </row>
    <row r="13" spans="2:11" ht="15.6" x14ac:dyDescent="0.3">
      <c r="B13" s="377"/>
      <c r="C13" s="415"/>
      <c r="D13" s="415"/>
      <c r="E13" s="415"/>
      <c r="F13" s="172"/>
      <c r="G13" s="501"/>
      <c r="H13" s="226"/>
      <c r="I13" s="168"/>
      <c r="J13" s="168"/>
      <c r="K13" s="168"/>
    </row>
    <row r="14" spans="2:11" ht="15.6" x14ac:dyDescent="0.3">
      <c r="B14" s="377"/>
      <c r="C14" s="415" t="s">
        <v>433</v>
      </c>
      <c r="D14" s="415"/>
      <c r="E14" s="415"/>
      <c r="F14" s="172">
        <f>SUM(F12:F13)</f>
        <v>0.02</v>
      </c>
      <c r="G14" s="501"/>
      <c r="H14" s="226" t="s">
        <v>441</v>
      </c>
      <c r="I14" s="168"/>
      <c r="J14" s="168"/>
      <c r="K14" s="168"/>
    </row>
    <row r="15" spans="2:11" ht="16.2" thickBot="1" x14ac:dyDescent="0.35">
      <c r="B15" s="604">
        <f>B2</f>
        <v>43830</v>
      </c>
      <c r="C15" s="605" t="s">
        <v>2</v>
      </c>
      <c r="D15" s="605"/>
      <c r="E15" s="93"/>
      <c r="F15" s="94">
        <f>F7+F10+F14</f>
        <v>0.02</v>
      </c>
    </row>
    <row r="16" spans="2:11" ht="13.8" thickBot="1" x14ac:dyDescent="0.3"/>
    <row r="17" spans="2:10" ht="15.6" x14ac:dyDescent="0.3">
      <c r="B17" s="379" t="s">
        <v>108</v>
      </c>
      <c r="C17" s="156"/>
      <c r="D17" s="157"/>
      <c r="E17" s="199" t="s">
        <v>109</v>
      </c>
      <c r="F17" s="158"/>
    </row>
    <row r="18" spans="2:10" ht="15.6" x14ac:dyDescent="0.3">
      <c r="B18" s="507">
        <v>43465</v>
      </c>
      <c r="C18" s="508" t="s">
        <v>2</v>
      </c>
      <c r="D18" s="508"/>
      <c r="E18" s="508"/>
      <c r="F18" s="104">
        <v>0</v>
      </c>
      <c r="G18" s="501"/>
    </row>
    <row r="19" spans="2:10" ht="15.6" x14ac:dyDescent="0.3">
      <c r="B19" s="507"/>
      <c r="C19" s="508"/>
      <c r="D19" s="508"/>
      <c r="E19" s="508"/>
      <c r="F19" s="104"/>
      <c r="G19" s="501"/>
    </row>
    <row r="20" spans="2:10" ht="16.2" thickBot="1" x14ac:dyDescent="0.35">
      <c r="B20" s="161"/>
      <c r="C20" s="585" t="s">
        <v>421</v>
      </c>
      <c r="D20" s="586"/>
      <c r="E20" s="162"/>
      <c r="F20" s="163"/>
      <c r="G20" s="501"/>
    </row>
    <row r="21" spans="2:10" ht="16.2" thickBot="1" x14ac:dyDescent="0.35">
      <c r="B21" s="9"/>
      <c r="C21" s="8"/>
      <c r="F21" s="10"/>
    </row>
    <row r="22" spans="2:10" ht="15.6" x14ac:dyDescent="0.3">
      <c r="B22" s="223" t="s">
        <v>0</v>
      </c>
      <c r="C22" s="376"/>
      <c r="D22" s="376"/>
      <c r="E22" s="198" t="s">
        <v>111</v>
      </c>
      <c r="F22" s="153"/>
      <c r="J22">
        <v>31.440000000000012</v>
      </c>
    </row>
    <row r="23" spans="2:10" ht="16.2" thickBot="1" x14ac:dyDescent="0.35">
      <c r="B23" s="125"/>
      <c r="C23" s="585" t="s">
        <v>420</v>
      </c>
      <c r="D23" s="586"/>
      <c r="E23" s="127"/>
      <c r="F23" s="128"/>
    </row>
    <row r="24" spans="2:10" ht="16.2" thickBot="1" x14ac:dyDescent="0.35">
      <c r="B24" s="13"/>
      <c r="C24" s="8"/>
      <c r="D24" s="8"/>
      <c r="E24" s="8"/>
      <c r="F24" s="8"/>
    </row>
    <row r="25" spans="2:10" ht="15.6" x14ac:dyDescent="0.3">
      <c r="B25" s="382" t="s">
        <v>39</v>
      </c>
      <c r="C25" s="156"/>
      <c r="D25" s="156"/>
      <c r="E25" s="199" t="s">
        <v>112</v>
      </c>
      <c r="F25" s="383"/>
    </row>
    <row r="26" spans="2:10" ht="16.2" thickBot="1" x14ac:dyDescent="0.35">
      <c r="B26" s="98">
        <v>43100</v>
      </c>
      <c r="C26" s="92" t="s">
        <v>2</v>
      </c>
      <c r="D26" s="92"/>
      <c r="E26" s="509"/>
      <c r="F26" s="99">
        <v>133.32</v>
      </c>
      <c r="H26" s="587" t="e">
        <f>#REF!+#REF!+#REF!</f>
        <v>#REF!</v>
      </c>
    </row>
    <row r="27" spans="2:10" ht="15.6" x14ac:dyDescent="0.3">
      <c r="B27" s="377"/>
      <c r="C27" s="415" t="s">
        <v>362</v>
      </c>
      <c r="D27" s="415"/>
      <c r="E27" s="415"/>
      <c r="F27" s="172"/>
      <c r="H27" s="501"/>
    </row>
    <row r="28" spans="2:10" ht="15.6" x14ac:dyDescent="0.3">
      <c r="B28" s="377">
        <v>43104</v>
      </c>
      <c r="C28" s="415" t="s">
        <v>67</v>
      </c>
      <c r="D28" s="415"/>
      <c r="E28" s="415"/>
      <c r="F28" s="172">
        <v>-10.9</v>
      </c>
      <c r="H28" s="502" t="s">
        <v>376</v>
      </c>
    </row>
    <row r="29" spans="2:10" ht="15.6" x14ac:dyDescent="0.3">
      <c r="B29" s="377">
        <v>43135</v>
      </c>
      <c r="C29" s="415" t="s">
        <v>67</v>
      </c>
      <c r="D29" s="415"/>
      <c r="E29" s="415"/>
      <c r="F29" s="172">
        <v>-9.9499999999999993</v>
      </c>
      <c r="H29" s="502" t="s">
        <v>376</v>
      </c>
    </row>
    <row r="30" spans="2:10" ht="15.6" x14ac:dyDescent="0.3">
      <c r="B30" s="377">
        <v>43161</v>
      </c>
      <c r="C30" s="415" t="s">
        <v>67</v>
      </c>
      <c r="D30" s="415"/>
      <c r="E30" s="415"/>
      <c r="F30" s="172">
        <v>-9.9499999999999993</v>
      </c>
      <c r="H30" s="502" t="s">
        <v>376</v>
      </c>
    </row>
    <row r="31" spans="2:10" ht="15.6" x14ac:dyDescent="0.3">
      <c r="B31" s="377">
        <v>43195</v>
      </c>
      <c r="C31" s="415" t="s">
        <v>67</v>
      </c>
      <c r="D31" s="415"/>
      <c r="E31" s="415"/>
      <c r="F31" s="172">
        <v>-9.9499999999999993</v>
      </c>
      <c r="H31" s="501" t="s">
        <v>380</v>
      </c>
    </row>
    <row r="32" spans="2:10" ht="15.6" x14ac:dyDescent="0.3">
      <c r="B32" s="377">
        <v>43224</v>
      </c>
      <c r="C32" s="415" t="s">
        <v>67</v>
      </c>
      <c r="D32" s="415"/>
      <c r="E32" s="415"/>
      <c r="F32" s="172">
        <v>-9.94</v>
      </c>
      <c r="H32" s="501" t="s">
        <v>376</v>
      </c>
    </row>
    <row r="33" spans="2:8" ht="15.6" x14ac:dyDescent="0.3">
      <c r="B33" s="377">
        <v>43256</v>
      </c>
      <c r="C33" s="415" t="s">
        <v>67</v>
      </c>
      <c r="D33" s="415"/>
      <c r="E33" s="415"/>
      <c r="F33" s="172">
        <v>-9.9499999999999993</v>
      </c>
      <c r="H33" s="501"/>
    </row>
    <row r="34" spans="2:8" ht="15.6" x14ac:dyDescent="0.3">
      <c r="B34" s="377">
        <v>43285</v>
      </c>
      <c r="C34" s="415" t="s">
        <v>67</v>
      </c>
      <c r="D34" s="415"/>
      <c r="E34" s="415"/>
      <c r="F34" s="172">
        <v>-9.94</v>
      </c>
      <c r="H34" s="501"/>
    </row>
    <row r="35" spans="2:8" ht="15.6" x14ac:dyDescent="0.3">
      <c r="B35" s="377">
        <v>43316</v>
      </c>
      <c r="C35" s="415" t="s">
        <v>67</v>
      </c>
      <c r="D35" s="415"/>
      <c r="E35" s="415"/>
      <c r="F35" s="172">
        <v>-9.9499999999999993</v>
      </c>
      <c r="H35" s="501"/>
    </row>
    <row r="36" spans="2:8" ht="15.6" x14ac:dyDescent="0.3">
      <c r="B36" s="377">
        <v>43347</v>
      </c>
      <c r="C36" s="415" t="s">
        <v>67</v>
      </c>
      <c r="D36" s="415"/>
      <c r="E36" s="415"/>
      <c r="F36" s="172">
        <v>-9.9499999999999993</v>
      </c>
      <c r="H36" s="501"/>
    </row>
    <row r="37" spans="2:8" ht="15.6" x14ac:dyDescent="0.3">
      <c r="B37" s="377">
        <v>43375</v>
      </c>
      <c r="C37" s="415" t="s">
        <v>67</v>
      </c>
      <c r="D37" s="415"/>
      <c r="E37" s="415"/>
      <c r="F37" s="172">
        <v>-9.9499999999999993</v>
      </c>
      <c r="H37" s="501"/>
    </row>
    <row r="38" spans="2:8" ht="15.6" x14ac:dyDescent="0.3">
      <c r="B38" s="377">
        <v>43407</v>
      </c>
      <c r="C38" s="415" t="s">
        <v>67</v>
      </c>
      <c r="D38" s="415"/>
      <c r="E38" s="415"/>
      <c r="F38" s="172">
        <v>-9.9499999999999993</v>
      </c>
      <c r="H38" s="501"/>
    </row>
    <row r="39" spans="2:8" ht="15.6" x14ac:dyDescent="0.3">
      <c r="B39" s="377">
        <v>43438</v>
      </c>
      <c r="C39" s="415" t="s">
        <v>67</v>
      </c>
      <c r="D39" s="415"/>
      <c r="E39" s="415"/>
      <c r="F39" s="172">
        <v>-9.94</v>
      </c>
      <c r="H39" s="501"/>
    </row>
    <row r="40" spans="2:8" ht="15.6" x14ac:dyDescent="0.3">
      <c r="B40" s="377"/>
      <c r="C40" s="415" t="s">
        <v>364</v>
      </c>
      <c r="D40" s="415"/>
      <c r="E40" s="415"/>
      <c r="F40" s="172">
        <f>SUM(F27:F39)</f>
        <v>-120.32000000000001</v>
      </c>
      <c r="H40" s="501"/>
    </row>
    <row r="41" spans="2:8" ht="15.6" x14ac:dyDescent="0.3">
      <c r="B41" s="377"/>
      <c r="C41" s="415" t="s">
        <v>363</v>
      </c>
      <c r="D41" s="415"/>
      <c r="E41" s="415"/>
      <c r="F41" s="172"/>
      <c r="H41" s="501"/>
    </row>
    <row r="42" spans="2:8" ht="15.6" x14ac:dyDescent="0.3">
      <c r="B42" s="377">
        <v>43364</v>
      </c>
      <c r="C42" s="415" t="s">
        <v>396</v>
      </c>
      <c r="D42" s="415"/>
      <c r="E42" s="415"/>
      <c r="F42" s="172">
        <v>0.97</v>
      </c>
      <c r="H42" s="501"/>
    </row>
    <row r="43" spans="2:8" ht="15.6" x14ac:dyDescent="0.3">
      <c r="B43" s="377">
        <v>43367</v>
      </c>
      <c r="C43" s="415" t="s">
        <v>396</v>
      </c>
      <c r="D43" s="415"/>
      <c r="E43" s="415"/>
      <c r="F43" s="172">
        <v>0.97</v>
      </c>
      <c r="H43" s="501"/>
    </row>
    <row r="44" spans="2:8" ht="15.6" x14ac:dyDescent="0.3">
      <c r="B44" s="377"/>
      <c r="C44" s="415" t="s">
        <v>365</v>
      </c>
      <c r="D44" s="415"/>
      <c r="E44" s="415"/>
      <c r="F44" s="172">
        <f>SUM(F41:F43)</f>
        <v>1.94</v>
      </c>
      <c r="H44" s="501"/>
    </row>
    <row r="45" spans="2:8" ht="16.2" thickBot="1" x14ac:dyDescent="0.35">
      <c r="B45" s="507">
        <v>43465</v>
      </c>
      <c r="C45" s="508" t="s">
        <v>2</v>
      </c>
      <c r="D45" s="508"/>
      <c r="E45" s="508"/>
      <c r="F45" s="104">
        <f>F26+F40+F44</f>
        <v>14.939999999999985</v>
      </c>
      <c r="H45" s="501"/>
    </row>
    <row r="46" spans="2:8" ht="15.6" x14ac:dyDescent="0.3">
      <c r="B46" s="589"/>
      <c r="C46" s="590" t="s">
        <v>424</v>
      </c>
      <c r="D46" s="590"/>
      <c r="E46" s="591"/>
      <c r="F46" s="449"/>
    </row>
    <row r="47" spans="2:8" ht="15.6" x14ac:dyDescent="0.3">
      <c r="B47" s="387">
        <v>43470</v>
      </c>
      <c r="C47" s="170" t="s">
        <v>67</v>
      </c>
      <c r="D47" s="170"/>
      <c r="E47" s="165"/>
      <c r="F47" s="210">
        <v>-9.9499999999999993</v>
      </c>
      <c r="G47" t="s">
        <v>472</v>
      </c>
      <c r="H47" s="624" t="s">
        <v>457</v>
      </c>
    </row>
    <row r="48" spans="2:8" ht="15.6" x14ac:dyDescent="0.3">
      <c r="B48" s="387">
        <v>43500</v>
      </c>
      <c r="C48" s="170" t="s">
        <v>67</v>
      </c>
      <c r="D48" s="170"/>
      <c r="E48" s="165"/>
      <c r="F48" s="210">
        <v>-9.9499999999999993</v>
      </c>
      <c r="G48" t="s">
        <v>472</v>
      </c>
      <c r="H48" s="624" t="s">
        <v>457</v>
      </c>
    </row>
    <row r="49" spans="2:9" ht="15.6" x14ac:dyDescent="0.3">
      <c r="B49" s="387">
        <v>43527</v>
      </c>
      <c r="C49" s="170" t="s">
        <v>67</v>
      </c>
      <c r="D49" s="170"/>
      <c r="E49" s="165"/>
      <c r="F49" s="210">
        <v>-9.9499999999999993</v>
      </c>
      <c r="G49" t="s">
        <v>472</v>
      </c>
      <c r="H49" s="624" t="s">
        <v>457</v>
      </c>
    </row>
    <row r="50" spans="2:9" ht="15.6" x14ac:dyDescent="0.3">
      <c r="B50" s="387">
        <v>43557</v>
      </c>
      <c r="C50" s="170" t="s">
        <v>67</v>
      </c>
      <c r="D50" s="170"/>
      <c r="E50" s="165"/>
      <c r="F50" s="210">
        <v>-9.9499999999999993</v>
      </c>
      <c r="G50" t="s">
        <v>472</v>
      </c>
      <c r="H50" s="624" t="s">
        <v>457</v>
      </c>
    </row>
    <row r="51" spans="2:9" ht="15.6" x14ac:dyDescent="0.3">
      <c r="B51" s="387">
        <v>43588</v>
      </c>
      <c r="C51" s="170" t="s">
        <v>67</v>
      </c>
      <c r="D51" s="170"/>
      <c r="E51" s="165"/>
      <c r="F51" s="210">
        <v>-8.3000000000000007</v>
      </c>
      <c r="G51" t="s">
        <v>472</v>
      </c>
      <c r="H51" s="624" t="s">
        <v>457</v>
      </c>
    </row>
    <row r="52" spans="2:9" ht="15.6" x14ac:dyDescent="0.3">
      <c r="B52" s="387">
        <v>43620</v>
      </c>
      <c r="C52" s="170" t="s">
        <v>67</v>
      </c>
      <c r="D52" s="170"/>
      <c r="E52" s="165"/>
      <c r="F52" s="210">
        <f>-11.58</f>
        <v>-11.58</v>
      </c>
      <c r="G52" t="s">
        <v>472</v>
      </c>
      <c r="H52" s="624" t="s">
        <v>457</v>
      </c>
    </row>
    <row r="53" spans="2:9" ht="15.6" x14ac:dyDescent="0.3">
      <c r="B53" s="387">
        <v>43648</v>
      </c>
      <c r="C53" s="170" t="s">
        <v>67</v>
      </c>
      <c r="D53" s="170"/>
      <c r="E53" s="165"/>
      <c r="F53" s="210">
        <v>-9.9499999999999993</v>
      </c>
      <c r="G53" t="s">
        <v>472</v>
      </c>
      <c r="H53" s="624" t="s">
        <v>457</v>
      </c>
    </row>
    <row r="54" spans="2:9" ht="15.6" x14ac:dyDescent="0.3">
      <c r="B54" s="387">
        <v>43679</v>
      </c>
      <c r="C54" s="170" t="s">
        <v>67</v>
      </c>
      <c r="D54" s="170"/>
      <c r="E54" s="165"/>
      <c r="F54" s="210">
        <v>-9.9499999999999993</v>
      </c>
      <c r="G54" t="s">
        <v>472</v>
      </c>
      <c r="H54" s="624" t="s">
        <v>457</v>
      </c>
    </row>
    <row r="55" spans="2:9" ht="15.6" x14ac:dyDescent="0.3">
      <c r="B55" s="387">
        <v>43711</v>
      </c>
      <c r="C55" s="170" t="s">
        <v>67</v>
      </c>
      <c r="D55" s="170"/>
      <c r="E55" s="165"/>
      <c r="F55" s="210">
        <v>-9.9499999999999993</v>
      </c>
      <c r="H55" s="624" t="s">
        <v>457</v>
      </c>
    </row>
    <row r="56" spans="2:9" ht="15.6" x14ac:dyDescent="0.3">
      <c r="B56" s="387">
        <v>43741</v>
      </c>
      <c r="C56" s="170" t="s">
        <v>67</v>
      </c>
      <c r="D56" s="170"/>
      <c r="E56" s="165"/>
      <c r="F56" s="210">
        <v>-9.9499999999999993</v>
      </c>
      <c r="H56" s="624" t="s">
        <v>457</v>
      </c>
    </row>
    <row r="57" spans="2:9" ht="15.6" x14ac:dyDescent="0.3">
      <c r="B57" s="387">
        <v>43771</v>
      </c>
      <c r="C57" s="170" t="s">
        <v>67</v>
      </c>
      <c r="D57" s="170"/>
      <c r="E57" s="165"/>
      <c r="F57" s="210">
        <v>-9.9499999999999993</v>
      </c>
      <c r="H57" s="624" t="s">
        <v>457</v>
      </c>
    </row>
    <row r="58" spans="2:9" ht="15.6" x14ac:dyDescent="0.3">
      <c r="B58" s="387">
        <v>43802</v>
      </c>
      <c r="C58" s="170" t="s">
        <v>67</v>
      </c>
      <c r="D58" s="170"/>
      <c r="E58" s="165"/>
      <c r="F58" s="210">
        <v>-9.9499999999999993</v>
      </c>
      <c r="H58" s="624" t="s">
        <v>457</v>
      </c>
    </row>
    <row r="59" spans="2:9" ht="15.6" x14ac:dyDescent="0.3">
      <c r="B59" s="387"/>
      <c r="C59" s="170"/>
      <c r="D59" s="170"/>
      <c r="E59" s="165"/>
      <c r="F59" s="210"/>
    </row>
    <row r="60" spans="2:9" ht="18.75" customHeight="1" thickBot="1" x14ac:dyDescent="0.35">
      <c r="B60" s="592"/>
      <c r="C60" s="593" t="s">
        <v>425</v>
      </c>
      <c r="D60" s="593"/>
      <c r="E60" s="594"/>
      <c r="F60" s="595">
        <f>SUM(F46:F58)</f>
        <v>-119.38000000000001</v>
      </c>
    </row>
    <row r="61" spans="2:9" ht="15.6" x14ac:dyDescent="0.3">
      <c r="B61" s="387"/>
      <c r="C61" s="170" t="s">
        <v>426</v>
      </c>
      <c r="D61" s="170"/>
      <c r="E61" s="165"/>
      <c r="F61" s="210"/>
    </row>
    <row r="62" spans="2:9" ht="15.6" x14ac:dyDescent="0.3">
      <c r="B62" s="387"/>
      <c r="C62" s="170" t="s">
        <v>500</v>
      </c>
      <c r="D62" s="170"/>
      <c r="E62" s="165"/>
      <c r="F62" s="210">
        <f>-F197</f>
        <v>369.42</v>
      </c>
      <c r="H62" s="627" t="s">
        <v>502</v>
      </c>
      <c r="I62" s="7" t="s">
        <v>509</v>
      </c>
    </row>
    <row r="63" spans="2:9" ht="15.6" x14ac:dyDescent="0.3">
      <c r="B63" s="387">
        <v>43791</v>
      </c>
      <c r="C63" s="170" t="s">
        <v>510</v>
      </c>
      <c r="D63" s="170"/>
      <c r="E63" s="165"/>
      <c r="F63" s="210">
        <v>90</v>
      </c>
      <c r="H63" s="624" t="s">
        <v>457</v>
      </c>
    </row>
    <row r="64" spans="2:9" ht="15.6" x14ac:dyDescent="0.3">
      <c r="B64" s="387"/>
      <c r="C64" s="170"/>
      <c r="D64" s="170"/>
      <c r="E64" s="165"/>
      <c r="F64" s="210"/>
    </row>
    <row r="65" spans="1:11" ht="16.2" thickBot="1" x14ac:dyDescent="0.35">
      <c r="B65" s="592"/>
      <c r="C65" s="593" t="s">
        <v>427</v>
      </c>
      <c r="D65" s="593"/>
      <c r="E65" s="594"/>
      <c r="F65" s="595">
        <f>SUM(F61:F64)</f>
        <v>459.42</v>
      </c>
    </row>
    <row r="66" spans="1:11" ht="16.2" thickBot="1" x14ac:dyDescent="0.35">
      <c r="B66" s="98">
        <f>B2</f>
        <v>43830</v>
      </c>
      <c r="C66" s="92" t="s">
        <v>2</v>
      </c>
      <c r="D66" s="92"/>
      <c r="E66" s="509"/>
      <c r="F66" s="99">
        <f>F45+F60+F65</f>
        <v>354.98</v>
      </c>
    </row>
    <row r="67" spans="1:11" ht="15.6" thickBot="1" x14ac:dyDescent="0.3">
      <c r="B67" s="12"/>
      <c r="C67" s="12"/>
      <c r="D67" s="12"/>
      <c r="E67" s="12"/>
      <c r="F67" s="12"/>
    </row>
    <row r="68" spans="1:11" ht="15.6" x14ac:dyDescent="0.3">
      <c r="A68" s="95"/>
      <c r="B68" s="382" t="s">
        <v>45</v>
      </c>
      <c r="C68" s="156"/>
      <c r="D68" s="156"/>
      <c r="E68" s="199" t="s">
        <v>113</v>
      </c>
      <c r="F68" s="158"/>
    </row>
    <row r="69" spans="1:11" ht="16.2" thickBot="1" x14ac:dyDescent="0.35">
      <c r="B69" s="385"/>
      <c r="C69" s="585" t="s">
        <v>420</v>
      </c>
      <c r="D69" s="585"/>
      <c r="E69" s="419"/>
      <c r="F69" s="209"/>
      <c r="H69" s="348"/>
      <c r="I69" s="116"/>
      <c r="J69" s="116"/>
      <c r="K69" s="116"/>
    </row>
    <row r="70" spans="1:11" ht="13.8" thickBot="1" x14ac:dyDescent="0.3"/>
    <row r="71" spans="1:11" ht="15.6" x14ac:dyDescent="0.3">
      <c r="A71" s="95"/>
      <c r="B71" s="223" t="s">
        <v>95</v>
      </c>
      <c r="C71" s="182"/>
      <c r="D71" s="157"/>
      <c r="E71" s="199" t="s">
        <v>114</v>
      </c>
      <c r="F71" s="176"/>
    </row>
    <row r="72" spans="1:11" ht="15.6" x14ac:dyDescent="0.3">
      <c r="B72" s="105">
        <v>43100</v>
      </c>
      <c r="C72" s="227" t="s">
        <v>2</v>
      </c>
      <c r="D72" s="227"/>
      <c r="E72" s="227"/>
      <c r="F72" s="152">
        <v>31.44</v>
      </c>
      <c r="H72" s="116"/>
    </row>
    <row r="73" spans="1:11" ht="15.6" x14ac:dyDescent="0.3">
      <c r="B73" s="377"/>
      <c r="C73" s="415" t="s">
        <v>362</v>
      </c>
      <c r="D73" s="415"/>
      <c r="E73" s="415"/>
      <c r="F73" s="172"/>
    </row>
    <row r="74" spans="1:11" ht="15.6" x14ac:dyDescent="0.3">
      <c r="B74" s="377"/>
      <c r="C74" s="415" t="s">
        <v>364</v>
      </c>
      <c r="D74" s="415"/>
      <c r="E74" s="415"/>
      <c r="F74" s="172">
        <f>SUM(F73:F73)</f>
        <v>0</v>
      </c>
    </row>
    <row r="75" spans="1:11" ht="15.6" x14ac:dyDescent="0.3">
      <c r="B75" s="377"/>
      <c r="C75" s="415" t="s">
        <v>363</v>
      </c>
      <c r="D75" s="415"/>
      <c r="E75" s="415"/>
      <c r="F75" s="172"/>
    </row>
    <row r="76" spans="1:11" ht="15.6" x14ac:dyDescent="0.3">
      <c r="B76" s="377"/>
      <c r="C76" s="415" t="s">
        <v>365</v>
      </c>
      <c r="D76" s="415"/>
      <c r="E76" s="415"/>
      <c r="F76" s="172">
        <f>SUM(F75:F75)</f>
        <v>0</v>
      </c>
    </row>
    <row r="77" spans="1:11" ht="16.2" thickBot="1" x14ac:dyDescent="0.35">
      <c r="B77" s="507">
        <v>43465</v>
      </c>
      <c r="C77" s="508" t="s">
        <v>2</v>
      </c>
      <c r="D77" s="508"/>
      <c r="E77" s="508"/>
      <c r="F77" s="104">
        <f>F72+F74+F76</f>
        <v>31.44</v>
      </c>
    </row>
    <row r="78" spans="1:11" ht="15.6" x14ac:dyDescent="0.3">
      <c r="B78" s="589"/>
      <c r="C78" s="590" t="s">
        <v>424</v>
      </c>
      <c r="D78" s="590"/>
      <c r="E78" s="591"/>
      <c r="F78" s="449"/>
    </row>
    <row r="79" spans="1:11" ht="16.2" thickBot="1" x14ac:dyDescent="0.35">
      <c r="B79" s="592"/>
      <c r="C79" s="593" t="s">
        <v>425</v>
      </c>
      <c r="D79" s="593"/>
      <c r="E79" s="594"/>
      <c r="F79" s="595">
        <f>SUM(F78:F78)</f>
        <v>0</v>
      </c>
    </row>
    <row r="80" spans="1:11" ht="15.6" x14ac:dyDescent="0.3">
      <c r="B80" s="589"/>
      <c r="C80" s="590" t="s">
        <v>426</v>
      </c>
      <c r="D80" s="590"/>
      <c r="E80" s="591"/>
      <c r="F80" s="449"/>
      <c r="I80" s="247"/>
      <c r="J80" s="247"/>
    </row>
    <row r="81" spans="2:10" ht="15.6" x14ac:dyDescent="0.3">
      <c r="B81" s="387"/>
      <c r="C81" s="170"/>
      <c r="D81" s="170"/>
      <c r="E81" s="165"/>
      <c r="F81" s="210"/>
      <c r="I81" s="116"/>
      <c r="J81" s="116"/>
    </row>
    <row r="82" spans="2:10" ht="16.2" thickBot="1" x14ac:dyDescent="0.35">
      <c r="B82" s="592"/>
      <c r="C82" s="593" t="s">
        <v>427</v>
      </c>
      <c r="D82" s="593"/>
      <c r="E82" s="594"/>
      <c r="F82" s="595">
        <f>SUM(F80:F81)</f>
        <v>0</v>
      </c>
      <c r="I82" s="116"/>
      <c r="J82" s="116"/>
    </row>
    <row r="83" spans="2:10" ht="16.2" thickBot="1" x14ac:dyDescent="0.35">
      <c r="B83" s="98">
        <f>B2</f>
        <v>43830</v>
      </c>
      <c r="C83" s="92" t="s">
        <v>2</v>
      </c>
      <c r="D83" s="92"/>
      <c r="E83" s="509"/>
      <c r="F83" s="99">
        <f>F77+F79+F82</f>
        <v>31.44</v>
      </c>
      <c r="I83" s="116"/>
      <c r="J83" s="116"/>
    </row>
    <row r="84" spans="2:10" ht="13.8" thickBot="1" x14ac:dyDescent="0.3">
      <c r="I84" s="193"/>
      <c r="J84" s="116"/>
    </row>
    <row r="85" spans="2:10" x14ac:dyDescent="0.25">
      <c r="B85" s="368" t="s">
        <v>131</v>
      </c>
      <c r="C85" s="369"/>
      <c r="D85" s="369"/>
      <c r="E85" s="369"/>
      <c r="F85" s="370"/>
      <c r="I85" s="116"/>
      <c r="J85" s="116"/>
    </row>
    <row r="86" spans="2:10" ht="15.6" x14ac:dyDescent="0.3">
      <c r="B86" s="389" t="s">
        <v>83</v>
      </c>
      <c r="C86" s="371"/>
      <c r="D86" s="155"/>
      <c r="E86" s="372" t="s">
        <v>115</v>
      </c>
      <c r="F86" s="177"/>
      <c r="I86" s="116"/>
      <c r="J86" s="116"/>
    </row>
    <row r="87" spans="2:10" ht="15.6" x14ac:dyDescent="0.3">
      <c r="B87" s="400">
        <v>43100</v>
      </c>
      <c r="C87" s="211" t="s">
        <v>422</v>
      </c>
      <c r="D87" s="211"/>
      <c r="E87" s="211"/>
      <c r="F87" s="210">
        <v>7537.84</v>
      </c>
      <c r="I87" s="116"/>
      <c r="J87" s="116"/>
    </row>
    <row r="88" spans="2:10" ht="15.6" x14ac:dyDescent="0.3">
      <c r="B88" s="377"/>
      <c r="C88" s="415" t="s">
        <v>362</v>
      </c>
      <c r="D88" s="415"/>
      <c r="E88" s="415"/>
      <c r="F88" s="172"/>
      <c r="I88" s="116"/>
      <c r="J88" s="116"/>
    </row>
    <row r="89" spans="2:10" ht="15.6" x14ac:dyDescent="0.3">
      <c r="B89" s="377">
        <v>43234</v>
      </c>
      <c r="C89" s="415" t="s">
        <v>381</v>
      </c>
      <c r="D89" s="415"/>
      <c r="E89" s="415"/>
      <c r="F89" s="172">
        <v>-186.2</v>
      </c>
      <c r="I89" s="193"/>
      <c r="J89" s="116"/>
    </row>
    <row r="90" spans="2:10" ht="15.6" x14ac:dyDescent="0.3">
      <c r="B90" s="377">
        <v>43285</v>
      </c>
      <c r="C90" s="415" t="s">
        <v>388</v>
      </c>
      <c r="D90" s="415"/>
      <c r="E90" s="415"/>
      <c r="F90" s="172">
        <v>-71.09</v>
      </c>
      <c r="I90" s="116"/>
      <c r="J90" s="116"/>
    </row>
    <row r="91" spans="2:10" ht="15.6" x14ac:dyDescent="0.3">
      <c r="B91" s="377">
        <v>43285</v>
      </c>
      <c r="C91" s="415" t="s">
        <v>389</v>
      </c>
      <c r="D91" s="415"/>
      <c r="E91" s="415"/>
      <c r="F91" s="172">
        <v>-24.75</v>
      </c>
      <c r="I91" s="116"/>
      <c r="J91" s="193"/>
    </row>
    <row r="92" spans="2:10" ht="15.6" x14ac:dyDescent="0.3">
      <c r="B92" s="377">
        <v>43289</v>
      </c>
      <c r="C92" s="415" t="s">
        <v>390</v>
      </c>
      <c r="D92" s="415"/>
      <c r="E92" s="415"/>
      <c r="F92" s="172">
        <v>-326.7</v>
      </c>
      <c r="I92" s="116"/>
      <c r="J92" s="193"/>
    </row>
    <row r="93" spans="2:10" ht="15.6" x14ac:dyDescent="0.3">
      <c r="B93" s="377">
        <v>43290</v>
      </c>
      <c r="C93" s="415" t="s">
        <v>391</v>
      </c>
      <c r="D93" s="415"/>
      <c r="E93" s="415"/>
      <c r="F93" s="172">
        <v>-97.28</v>
      </c>
      <c r="I93" s="116"/>
      <c r="J93" s="193"/>
    </row>
    <row r="94" spans="2:10" ht="15.6" x14ac:dyDescent="0.3">
      <c r="B94" s="377">
        <v>43297</v>
      </c>
      <c r="C94" s="415" t="s">
        <v>392</v>
      </c>
      <c r="D94" s="415"/>
      <c r="E94" s="415"/>
      <c r="F94" s="172">
        <v>-504.57</v>
      </c>
      <c r="I94" s="116"/>
      <c r="J94" s="116"/>
    </row>
    <row r="95" spans="2:10" ht="15.6" x14ac:dyDescent="0.3">
      <c r="B95" s="377">
        <v>43300</v>
      </c>
      <c r="C95" s="415" t="s">
        <v>394</v>
      </c>
      <c r="D95" s="415"/>
      <c r="E95" s="415"/>
      <c r="F95" s="172">
        <v>-150</v>
      </c>
      <c r="I95" s="202"/>
      <c r="J95" s="202"/>
    </row>
    <row r="96" spans="2:10" ht="15.6" x14ac:dyDescent="0.3">
      <c r="B96" s="377">
        <v>43375</v>
      </c>
      <c r="C96" s="415" t="s">
        <v>395</v>
      </c>
      <c r="D96" s="415"/>
      <c r="E96" s="415"/>
      <c r="F96" s="172">
        <v>-549.08000000000004</v>
      </c>
      <c r="H96" s="116"/>
    </row>
    <row r="97" spans="1:8" ht="15.6" x14ac:dyDescent="0.3">
      <c r="B97" s="377">
        <v>43382</v>
      </c>
      <c r="C97" s="415" t="s">
        <v>397</v>
      </c>
      <c r="D97" s="415"/>
      <c r="E97" s="415"/>
      <c r="F97" s="172">
        <v>-48</v>
      </c>
      <c r="H97" s="116"/>
    </row>
    <row r="98" spans="1:8" ht="15.6" x14ac:dyDescent="0.3">
      <c r="B98" s="377">
        <v>43388</v>
      </c>
      <c r="C98" s="415" t="s">
        <v>399</v>
      </c>
      <c r="D98" s="415"/>
      <c r="E98" s="415"/>
      <c r="F98" s="172">
        <v>-202.58</v>
      </c>
      <c r="H98" s="116" t="s">
        <v>400</v>
      </c>
    </row>
    <row r="99" spans="1:8" ht="15.6" x14ac:dyDescent="0.3">
      <c r="B99" s="377">
        <v>43405</v>
      </c>
      <c r="C99" s="415" t="s">
        <v>401</v>
      </c>
      <c r="D99" s="415"/>
      <c r="E99" s="415"/>
      <c r="F99" s="172">
        <v>-315.60000000000002</v>
      </c>
      <c r="H99" s="116"/>
    </row>
    <row r="100" spans="1:8" ht="15.6" x14ac:dyDescent="0.3">
      <c r="B100" s="377"/>
      <c r="C100" s="415"/>
      <c r="D100" s="415"/>
      <c r="E100" s="415"/>
      <c r="F100" s="172"/>
      <c r="H100" s="116"/>
    </row>
    <row r="101" spans="1:8" ht="15.6" x14ac:dyDescent="0.3">
      <c r="B101" s="377"/>
      <c r="C101" s="415" t="s">
        <v>364</v>
      </c>
      <c r="D101" s="415"/>
      <c r="E101" s="415"/>
      <c r="F101" s="172">
        <f>SUM(F88:F99)</f>
        <v>-2475.85</v>
      </c>
      <c r="H101" s="116"/>
    </row>
    <row r="102" spans="1:8" ht="15.6" x14ac:dyDescent="0.3">
      <c r="B102" s="377"/>
      <c r="C102" s="415" t="s">
        <v>363</v>
      </c>
      <c r="D102" s="415"/>
      <c r="E102" s="415"/>
      <c r="F102" s="172"/>
      <c r="H102" s="116"/>
    </row>
    <row r="103" spans="1:8" ht="15.6" x14ac:dyDescent="0.3">
      <c r="B103" s="377">
        <v>43101</v>
      </c>
      <c r="C103" s="415" t="s">
        <v>59</v>
      </c>
      <c r="D103" s="415"/>
      <c r="E103" s="415"/>
      <c r="F103" s="172">
        <v>1.68</v>
      </c>
      <c r="H103" s="193" t="s">
        <v>376</v>
      </c>
    </row>
    <row r="104" spans="1:8" ht="15.6" x14ac:dyDescent="0.3">
      <c r="B104" s="377"/>
      <c r="C104" s="415"/>
      <c r="D104" s="415"/>
      <c r="E104" s="415"/>
      <c r="F104" s="172"/>
      <c r="H104" s="116"/>
    </row>
    <row r="105" spans="1:8" ht="15.6" x14ac:dyDescent="0.3">
      <c r="B105" s="377"/>
      <c r="C105" s="415" t="s">
        <v>365</v>
      </c>
      <c r="D105" s="415"/>
      <c r="E105" s="415"/>
      <c r="F105" s="172">
        <f>SUM(F102:F104)</f>
        <v>1.68</v>
      </c>
      <c r="H105" s="116"/>
    </row>
    <row r="106" spans="1:8" ht="16.2" thickBot="1" x14ac:dyDescent="0.35">
      <c r="B106" s="507">
        <v>43465</v>
      </c>
      <c r="C106" s="508" t="s">
        <v>2</v>
      </c>
      <c r="D106" s="508"/>
      <c r="E106" s="508"/>
      <c r="F106" s="104">
        <f>F87+F101+F105</f>
        <v>5063.67</v>
      </c>
      <c r="H106" s="116"/>
    </row>
    <row r="107" spans="1:8" ht="15.6" x14ac:dyDescent="0.3">
      <c r="B107" s="589"/>
      <c r="C107" s="590" t="s">
        <v>424</v>
      </c>
      <c r="D107" s="590"/>
      <c r="E107" s="591"/>
      <c r="F107" s="449"/>
    </row>
    <row r="108" spans="1:8" ht="15.6" x14ac:dyDescent="0.3">
      <c r="A108" s="621"/>
      <c r="B108" s="387">
        <v>43702</v>
      </c>
      <c r="C108" s="170" t="s">
        <v>471</v>
      </c>
      <c r="D108" s="170"/>
      <c r="E108" s="165"/>
      <c r="F108" s="210">
        <v>-154.88</v>
      </c>
      <c r="H108" s="624" t="s">
        <v>376</v>
      </c>
    </row>
    <row r="109" spans="1:8" ht="15.6" x14ac:dyDescent="0.3">
      <c r="A109" s="621"/>
      <c r="B109" s="387">
        <v>43713</v>
      </c>
      <c r="C109" s="170" t="s">
        <v>473</v>
      </c>
      <c r="D109" s="170"/>
      <c r="E109" s="165"/>
      <c r="F109" s="210">
        <v>-144.25</v>
      </c>
      <c r="H109" s="624" t="s">
        <v>376</v>
      </c>
    </row>
    <row r="110" spans="1:8" ht="15.6" x14ac:dyDescent="0.3">
      <c r="A110" s="621"/>
      <c r="B110" s="387">
        <v>43738</v>
      </c>
      <c r="C110" s="170" t="s">
        <v>476</v>
      </c>
      <c r="D110" s="170"/>
      <c r="E110" s="165">
        <v>20190030</v>
      </c>
      <c r="F110" s="210">
        <v>-1863.4</v>
      </c>
      <c r="H110" s="624" t="s">
        <v>376</v>
      </c>
    </row>
    <row r="111" spans="1:8" ht="15.6" x14ac:dyDescent="0.3">
      <c r="A111" s="621"/>
      <c r="B111" s="387">
        <v>43746</v>
      </c>
      <c r="C111" s="170" t="s">
        <v>477</v>
      </c>
      <c r="D111" s="170"/>
      <c r="E111" s="165"/>
      <c r="F111" s="210">
        <v>-337.63</v>
      </c>
      <c r="H111" s="624" t="s">
        <v>376</v>
      </c>
    </row>
    <row r="112" spans="1:8" ht="15.6" x14ac:dyDescent="0.3">
      <c r="B112" s="387">
        <v>43781</v>
      </c>
      <c r="C112" s="170" t="s">
        <v>506</v>
      </c>
      <c r="D112" s="170"/>
      <c r="E112" s="165"/>
      <c r="F112" s="210">
        <v>-90</v>
      </c>
      <c r="H112" s="624" t="s">
        <v>376</v>
      </c>
    </row>
    <row r="113" spans="2:12" ht="15.6" x14ac:dyDescent="0.3">
      <c r="B113" s="387">
        <v>43809</v>
      </c>
      <c r="C113" s="170" t="s">
        <v>507</v>
      </c>
      <c r="D113" s="170"/>
      <c r="E113" s="165"/>
      <c r="F113" s="210">
        <v>-121</v>
      </c>
      <c r="H113" s="624" t="s">
        <v>376</v>
      </c>
    </row>
    <row r="114" spans="2:12" ht="15.6" x14ac:dyDescent="0.3">
      <c r="B114" s="387"/>
      <c r="C114" s="170"/>
      <c r="D114" s="170"/>
      <c r="E114" s="165"/>
      <c r="F114" s="210"/>
    </row>
    <row r="115" spans="2:12" ht="16.2" thickBot="1" x14ac:dyDescent="0.35">
      <c r="B115" s="592"/>
      <c r="C115" s="593" t="s">
        <v>425</v>
      </c>
      <c r="D115" s="593"/>
      <c r="E115" s="594"/>
      <c r="F115" s="595">
        <f>SUM(F107:F113)</f>
        <v>-2711.1600000000003</v>
      </c>
    </row>
    <row r="116" spans="2:12" ht="15.6" x14ac:dyDescent="0.3">
      <c r="B116" s="589"/>
      <c r="C116" s="590" t="s">
        <v>481</v>
      </c>
      <c r="D116" s="590"/>
      <c r="E116" s="591"/>
      <c r="F116" s="449"/>
    </row>
    <row r="117" spans="2:12" ht="15.6" x14ac:dyDescent="0.3">
      <c r="B117" s="387"/>
      <c r="C117" s="211">
        <v>43466</v>
      </c>
      <c r="D117" s="170" t="s">
        <v>59</v>
      </c>
      <c r="E117" s="165"/>
      <c r="F117" s="210">
        <v>0.65</v>
      </c>
      <c r="H117" s="624" t="s">
        <v>376</v>
      </c>
    </row>
    <row r="118" spans="2:12" ht="17.399999999999999" x14ac:dyDescent="0.3">
      <c r="B118" s="387">
        <v>43500</v>
      </c>
      <c r="C118" s="170" t="s">
        <v>464</v>
      </c>
      <c r="D118" s="170"/>
      <c r="E118" s="165"/>
      <c r="F118" s="210">
        <v>1250</v>
      </c>
      <c r="H118" s="624" t="s">
        <v>376</v>
      </c>
      <c r="I118" s="422"/>
      <c r="J118" s="116"/>
      <c r="K118" s="616"/>
      <c r="L118" s="423"/>
    </row>
    <row r="119" spans="2:12" ht="15.6" x14ac:dyDescent="0.3">
      <c r="B119" s="387">
        <v>43501</v>
      </c>
      <c r="C119" s="170" t="s">
        <v>164</v>
      </c>
      <c r="D119" s="170"/>
      <c r="E119" s="165"/>
      <c r="F119" s="210">
        <v>10</v>
      </c>
      <c r="H119" s="624" t="s">
        <v>376</v>
      </c>
      <c r="I119" s="116"/>
      <c r="J119" s="116"/>
      <c r="K119" s="424"/>
      <c r="L119" s="116"/>
    </row>
    <row r="120" spans="2:12" ht="15.6" x14ac:dyDescent="0.3">
      <c r="B120" s="387">
        <v>43523</v>
      </c>
      <c r="C120" s="170" t="s">
        <v>463</v>
      </c>
      <c r="D120" s="170"/>
      <c r="E120" s="165"/>
      <c r="F120" s="210">
        <v>2500</v>
      </c>
      <c r="H120" s="624" t="s">
        <v>376</v>
      </c>
      <c r="J120" s="116"/>
      <c r="L120" s="116"/>
    </row>
    <row r="121" spans="2:12" ht="15.6" x14ac:dyDescent="0.3">
      <c r="B121" s="387">
        <v>43537</v>
      </c>
      <c r="C121" s="170" t="s">
        <v>461</v>
      </c>
      <c r="D121" s="170"/>
      <c r="E121" s="165"/>
      <c r="F121" s="210">
        <v>1000</v>
      </c>
      <c r="H121" s="624" t="s">
        <v>376</v>
      </c>
      <c r="I121" s="116"/>
      <c r="J121" s="116"/>
      <c r="K121" s="116"/>
    </row>
    <row r="122" spans="2:12" ht="15.6" x14ac:dyDescent="0.3">
      <c r="B122" s="387">
        <v>43552</v>
      </c>
      <c r="C122" s="170" t="s">
        <v>462</v>
      </c>
      <c r="D122" s="170"/>
      <c r="E122" s="165"/>
      <c r="F122" s="210">
        <v>3500</v>
      </c>
      <c r="H122" s="624" t="s">
        <v>488</v>
      </c>
      <c r="I122" s="116"/>
      <c r="J122" s="116"/>
      <c r="K122" s="422"/>
    </row>
    <row r="123" spans="2:12" ht="15.6" x14ac:dyDescent="0.3">
      <c r="B123" s="387">
        <v>43773</v>
      </c>
      <c r="C123" s="170" t="s">
        <v>489</v>
      </c>
      <c r="D123" s="170"/>
      <c r="E123" s="165"/>
      <c r="F123" s="539">
        <v>-1000</v>
      </c>
      <c r="H123" s="624" t="s">
        <v>491</v>
      </c>
      <c r="I123" s="615"/>
      <c r="J123" s="116"/>
    </row>
    <row r="124" spans="2:12" ht="15.6" x14ac:dyDescent="0.3">
      <c r="B124" s="387">
        <v>43552</v>
      </c>
      <c r="C124" s="170" t="s">
        <v>465</v>
      </c>
      <c r="D124" s="170"/>
      <c r="E124" s="165"/>
      <c r="F124" s="210">
        <v>3000</v>
      </c>
      <c r="H124" s="624" t="s">
        <v>376</v>
      </c>
      <c r="I124" s="116"/>
      <c r="J124" s="116"/>
    </row>
    <row r="125" spans="2:12" ht="17.399999999999999" x14ac:dyDescent="0.3">
      <c r="B125" s="387">
        <v>43605</v>
      </c>
      <c r="C125" s="170" t="s">
        <v>466</v>
      </c>
      <c r="D125" s="170"/>
      <c r="E125" s="165"/>
      <c r="F125" s="210">
        <v>2250</v>
      </c>
      <c r="H125" s="624" t="s">
        <v>376</v>
      </c>
      <c r="I125" s="116"/>
      <c r="J125" s="116"/>
      <c r="K125" s="423"/>
    </row>
    <row r="126" spans="2:12" ht="17.399999999999999" x14ac:dyDescent="0.3">
      <c r="B126" s="387">
        <v>43738</v>
      </c>
      <c r="C126" s="170" t="s">
        <v>492</v>
      </c>
      <c r="D126" s="170"/>
      <c r="E126" s="165"/>
      <c r="F126" s="210">
        <v>4000</v>
      </c>
      <c r="H126" s="624" t="s">
        <v>376</v>
      </c>
      <c r="I126" s="116"/>
      <c r="J126" s="116"/>
      <c r="K126" s="423"/>
    </row>
    <row r="127" spans="2:12" ht="15.6" x14ac:dyDescent="0.3">
      <c r="B127" s="387">
        <v>43773</v>
      </c>
      <c r="C127" s="170" t="s">
        <v>497</v>
      </c>
      <c r="D127" s="170"/>
      <c r="E127" s="165"/>
      <c r="F127" s="210">
        <v>4000</v>
      </c>
      <c r="H127" s="626" t="s">
        <v>513</v>
      </c>
      <c r="I127" s="116"/>
      <c r="J127" s="116"/>
    </row>
    <row r="128" spans="2:12" ht="15.6" x14ac:dyDescent="0.3">
      <c r="B128" s="387">
        <v>43773</v>
      </c>
      <c r="C128" s="170" t="s">
        <v>496</v>
      </c>
      <c r="D128" s="170"/>
      <c r="E128" s="165"/>
      <c r="F128" s="210">
        <v>1000</v>
      </c>
      <c r="H128" s="624" t="s">
        <v>498</v>
      </c>
      <c r="I128" s="116"/>
      <c r="J128" s="116"/>
    </row>
    <row r="129" spans="1:10" ht="15.6" x14ac:dyDescent="0.3">
      <c r="B129" s="387"/>
      <c r="C129" s="170"/>
      <c r="D129" s="170"/>
      <c r="E129" s="165"/>
      <c r="F129" s="210"/>
      <c r="I129" s="116"/>
      <c r="J129" s="116"/>
    </row>
    <row r="130" spans="1:10" ht="16.2" thickBot="1" x14ac:dyDescent="0.35">
      <c r="B130" s="592"/>
      <c r="C130" s="593" t="s">
        <v>427</v>
      </c>
      <c r="D130" s="593"/>
      <c r="E130" s="594"/>
      <c r="F130" s="595">
        <f>SUM(F116:F128)</f>
        <v>21510.65</v>
      </c>
    </row>
    <row r="131" spans="1:10" ht="16.2" thickBot="1" x14ac:dyDescent="0.35">
      <c r="B131" s="98">
        <f>B2</f>
        <v>43830</v>
      </c>
      <c r="C131" s="92" t="s">
        <v>2</v>
      </c>
      <c r="D131" s="92"/>
      <c r="E131" s="509"/>
      <c r="F131" s="99">
        <f>F106+F115+F130</f>
        <v>23863.16</v>
      </c>
    </row>
    <row r="132" spans="1:10" ht="16.2" thickBot="1" x14ac:dyDescent="0.35">
      <c r="B132" s="13"/>
      <c r="C132" s="204"/>
      <c r="D132" s="204"/>
      <c r="E132" s="204"/>
      <c r="F132" s="202"/>
    </row>
    <row r="133" spans="1:10" ht="15.6" x14ac:dyDescent="0.3">
      <c r="A133" s="95"/>
      <c r="B133" s="223" t="s">
        <v>88</v>
      </c>
      <c r="C133" s="182"/>
      <c r="D133" s="182"/>
      <c r="E133" s="393" t="s">
        <v>116</v>
      </c>
      <c r="F133" s="394"/>
    </row>
    <row r="134" spans="1:10" ht="16.2" thickBot="1" x14ac:dyDescent="0.35">
      <c r="B134" s="395">
        <v>43100</v>
      </c>
      <c r="C134" s="396" t="s">
        <v>2</v>
      </c>
      <c r="D134" s="396"/>
      <c r="E134" s="396"/>
      <c r="F134" s="209">
        <v>1500</v>
      </c>
      <c r="G134" s="504"/>
      <c r="H134" s="116"/>
    </row>
    <row r="135" spans="1:10" ht="15.6" x14ac:dyDescent="0.3">
      <c r="B135" s="377"/>
      <c r="C135" s="415" t="s">
        <v>362</v>
      </c>
      <c r="D135" s="415"/>
      <c r="E135" s="415"/>
      <c r="F135" s="172"/>
      <c r="G135" s="504"/>
    </row>
    <row r="136" spans="1:10" ht="15.6" x14ac:dyDescent="0.3">
      <c r="B136" s="377">
        <v>43171</v>
      </c>
      <c r="C136" s="415" t="s">
        <v>372</v>
      </c>
      <c r="D136" s="415"/>
      <c r="E136" s="415"/>
      <c r="F136" s="172">
        <v>-1500</v>
      </c>
      <c r="G136" s="504"/>
      <c r="H136" t="s">
        <v>374</v>
      </c>
    </row>
    <row r="137" spans="1:10" ht="15.6" x14ac:dyDescent="0.3">
      <c r="B137" s="377">
        <v>43171</v>
      </c>
      <c r="C137" s="415" t="s">
        <v>373</v>
      </c>
      <c r="D137" s="415"/>
      <c r="E137" s="415"/>
      <c r="F137" s="172">
        <v>-1500</v>
      </c>
      <c r="G137" s="504"/>
      <c r="H137" t="s">
        <v>374</v>
      </c>
    </row>
    <row r="138" spans="1:10" ht="15.6" x14ac:dyDescent="0.3">
      <c r="B138" s="377"/>
      <c r="C138" s="415" t="s">
        <v>364</v>
      </c>
      <c r="D138" s="415"/>
      <c r="E138" s="415"/>
      <c r="F138" s="172">
        <f>SUM(F135:F137)</f>
        <v>-3000</v>
      </c>
      <c r="G138" s="504"/>
    </row>
    <row r="139" spans="1:10" ht="15.6" x14ac:dyDescent="0.3">
      <c r="B139" s="377"/>
      <c r="C139" s="415" t="s">
        <v>363</v>
      </c>
      <c r="D139" s="415"/>
      <c r="E139" s="415"/>
      <c r="F139" s="172"/>
      <c r="G139" s="504"/>
    </row>
    <row r="140" spans="1:10" ht="15.6" x14ac:dyDescent="0.3">
      <c r="B140" s="377">
        <v>43154</v>
      </c>
      <c r="C140" s="415" t="s">
        <v>369</v>
      </c>
      <c r="D140" s="415"/>
      <c r="E140" s="415"/>
      <c r="F140" s="172">
        <v>3000</v>
      </c>
      <c r="G140" s="504"/>
      <c r="H140" s="7" t="s">
        <v>376</v>
      </c>
    </row>
    <row r="141" spans="1:10" ht="15.6" x14ac:dyDescent="0.3">
      <c r="B141" s="377"/>
      <c r="C141" s="415"/>
      <c r="D141" s="415"/>
      <c r="E141" s="415"/>
      <c r="F141" s="172"/>
      <c r="G141" s="504"/>
    </row>
    <row r="142" spans="1:10" ht="15.6" x14ac:dyDescent="0.3">
      <c r="B142" s="377"/>
      <c r="C142" s="415" t="s">
        <v>365</v>
      </c>
      <c r="D142" s="415"/>
      <c r="E142" s="415"/>
      <c r="F142" s="172">
        <f>SUM(F139:F141)</f>
        <v>3000</v>
      </c>
      <c r="G142" s="504"/>
    </row>
    <row r="143" spans="1:10" ht="16.2" thickBot="1" x14ac:dyDescent="0.35">
      <c r="B143" s="507">
        <v>43465</v>
      </c>
      <c r="C143" s="508" t="s">
        <v>2</v>
      </c>
      <c r="D143" s="508"/>
      <c r="E143" s="508"/>
      <c r="F143" s="104">
        <f>F134+F138+F142</f>
        <v>1500</v>
      </c>
      <c r="G143" s="504"/>
    </row>
    <row r="144" spans="1:10" ht="15.6" x14ac:dyDescent="0.3">
      <c r="B144" s="589"/>
      <c r="C144" s="590" t="s">
        <v>424</v>
      </c>
      <c r="D144" s="590"/>
      <c r="E144" s="591"/>
      <c r="F144" s="449"/>
    </row>
    <row r="145" spans="1:8" ht="15.6" x14ac:dyDescent="0.3">
      <c r="A145" s="425"/>
      <c r="B145" s="387">
        <v>43738</v>
      </c>
      <c r="C145" s="170" t="s">
        <v>474</v>
      </c>
      <c r="D145" s="170"/>
      <c r="E145" s="165"/>
      <c r="F145" s="210">
        <v>-2500</v>
      </c>
      <c r="H145" s="624" t="s">
        <v>376</v>
      </c>
    </row>
    <row r="146" spans="1:8" ht="15.6" x14ac:dyDescent="0.3">
      <c r="B146" s="387"/>
      <c r="C146" s="170"/>
      <c r="D146" s="170"/>
      <c r="E146" s="165"/>
      <c r="F146" s="210"/>
    </row>
    <row r="147" spans="1:8" ht="15.6" x14ac:dyDescent="0.3">
      <c r="B147" s="387"/>
      <c r="C147" s="170"/>
      <c r="D147" s="170"/>
      <c r="E147" s="165"/>
      <c r="F147" s="210"/>
    </row>
    <row r="148" spans="1:8" ht="16.2" thickBot="1" x14ac:dyDescent="0.35">
      <c r="B148" s="592"/>
      <c r="C148" s="593" t="s">
        <v>425</v>
      </c>
      <c r="D148" s="593"/>
      <c r="E148" s="594"/>
      <c r="F148" s="595">
        <f>SUM(F144:F147)</f>
        <v>-2500</v>
      </c>
    </row>
    <row r="149" spans="1:8" ht="15.6" x14ac:dyDescent="0.3">
      <c r="B149" s="589"/>
      <c r="C149" s="590" t="s">
        <v>482</v>
      </c>
      <c r="D149" s="590"/>
      <c r="E149" s="591"/>
      <c r="F149" s="449"/>
    </row>
    <row r="150" spans="1:8" ht="15.6" x14ac:dyDescent="0.3">
      <c r="B150" s="387">
        <v>43702</v>
      </c>
      <c r="C150" s="170" t="s">
        <v>493</v>
      </c>
      <c r="D150" s="170"/>
      <c r="E150" s="165"/>
      <c r="F150" s="210">
        <v>5000</v>
      </c>
      <c r="G150" t="s">
        <v>472</v>
      </c>
      <c r="H150" s="624" t="s">
        <v>499</v>
      </c>
    </row>
    <row r="151" spans="1:8" ht="15.6" x14ac:dyDescent="0.3">
      <c r="B151" s="387"/>
      <c r="C151" s="170"/>
      <c r="D151" s="170"/>
      <c r="E151" s="165"/>
      <c r="F151" s="210"/>
    </row>
    <row r="152" spans="1:8" ht="15.6" x14ac:dyDescent="0.3">
      <c r="B152" s="387">
        <v>43773</v>
      </c>
      <c r="C152" s="170" t="s">
        <v>511</v>
      </c>
      <c r="D152" s="170"/>
      <c r="E152" s="165"/>
      <c r="F152" s="539">
        <v>-4000</v>
      </c>
      <c r="G152" s="425"/>
      <c r="H152" s="425" t="s">
        <v>494</v>
      </c>
    </row>
    <row r="153" spans="1:8" ht="15.6" x14ac:dyDescent="0.3">
      <c r="B153" s="387">
        <v>43773</v>
      </c>
      <c r="C153" s="170" t="s">
        <v>512</v>
      </c>
      <c r="D153" s="170"/>
      <c r="E153" s="165"/>
      <c r="F153" s="539">
        <v>-1000</v>
      </c>
      <c r="G153" s="425"/>
      <c r="H153" s="425" t="s">
        <v>495</v>
      </c>
    </row>
    <row r="154" spans="1:8" ht="15.6" x14ac:dyDescent="0.3">
      <c r="B154" s="387">
        <v>43780</v>
      </c>
      <c r="C154" s="170" t="s">
        <v>490</v>
      </c>
      <c r="D154" s="170"/>
      <c r="E154" s="165"/>
      <c r="F154" s="210">
        <v>2250</v>
      </c>
      <c r="H154" s="624" t="s">
        <v>376</v>
      </c>
    </row>
    <row r="155" spans="1:8" ht="16.2" thickBot="1" x14ac:dyDescent="0.35">
      <c r="B155" s="592"/>
      <c r="C155" s="593" t="s">
        <v>427</v>
      </c>
      <c r="D155" s="593"/>
      <c r="E155" s="594"/>
      <c r="F155" s="595">
        <f>SUM(F149:F154)</f>
        <v>2250</v>
      </c>
    </row>
    <row r="156" spans="1:8" ht="16.2" thickBot="1" x14ac:dyDescent="0.35">
      <c r="B156" s="98">
        <f>B2</f>
        <v>43830</v>
      </c>
      <c r="C156" s="92" t="s">
        <v>2</v>
      </c>
      <c r="D156" s="92"/>
      <c r="E156" s="509"/>
      <c r="F156" s="99">
        <f>F143+F148+F155</f>
        <v>1250</v>
      </c>
    </row>
    <row r="157" spans="1:8" ht="13.8" thickBot="1" x14ac:dyDescent="0.3"/>
    <row r="158" spans="1:8" ht="15.6" x14ac:dyDescent="0.3">
      <c r="A158" s="95"/>
      <c r="B158" s="223" t="s">
        <v>93</v>
      </c>
      <c r="C158" s="182"/>
      <c r="D158" s="182"/>
      <c r="E158" s="393" t="s">
        <v>117</v>
      </c>
      <c r="F158" s="394"/>
    </row>
    <row r="159" spans="1:8" ht="15.6" x14ac:dyDescent="0.3">
      <c r="B159" s="105">
        <v>43100</v>
      </c>
      <c r="C159" s="227" t="s">
        <v>2</v>
      </c>
      <c r="D159" s="227"/>
      <c r="E159" s="227"/>
      <c r="F159" s="152">
        <v>48.66</v>
      </c>
      <c r="G159" s="504"/>
      <c r="H159" s="116"/>
    </row>
    <row r="160" spans="1:8" ht="15.6" x14ac:dyDescent="0.3">
      <c r="B160" s="377"/>
      <c r="C160" s="415" t="s">
        <v>362</v>
      </c>
      <c r="D160" s="415"/>
      <c r="E160" s="415"/>
      <c r="F160" s="172"/>
      <c r="G160" s="504"/>
    </row>
    <row r="161" spans="2:11" ht="15.6" x14ac:dyDescent="0.3">
      <c r="B161" s="377"/>
      <c r="C161" s="415" t="s">
        <v>364</v>
      </c>
      <c r="D161" s="415"/>
      <c r="E161" s="415"/>
      <c r="F161" s="172">
        <f>SUM(F160:F160)</f>
        <v>0</v>
      </c>
      <c r="G161" s="504"/>
    </row>
    <row r="162" spans="2:11" ht="15.6" x14ac:dyDescent="0.3">
      <c r="B162" s="377"/>
      <c r="C162" s="415" t="s">
        <v>363</v>
      </c>
      <c r="D162" s="415"/>
      <c r="E162" s="415"/>
      <c r="F162" s="172"/>
      <c r="G162" s="504"/>
    </row>
    <row r="163" spans="2:11" ht="16.2" thickBot="1" x14ac:dyDescent="0.35">
      <c r="B163" s="377"/>
      <c r="C163" s="415" t="s">
        <v>365</v>
      </c>
      <c r="D163" s="415"/>
      <c r="E163" s="415"/>
      <c r="F163" s="172">
        <f>SUM(F162:F162)</f>
        <v>0</v>
      </c>
      <c r="G163" s="504"/>
    </row>
    <row r="164" spans="2:11" ht="16.2" thickBot="1" x14ac:dyDescent="0.35">
      <c r="B164" s="511">
        <v>43465</v>
      </c>
      <c r="C164" s="512" t="s">
        <v>2</v>
      </c>
      <c r="D164" s="512"/>
      <c r="E164" s="512"/>
      <c r="F164" s="513">
        <f>F159+F161+F163</f>
        <v>48.66</v>
      </c>
      <c r="H164">
        <v>926</v>
      </c>
    </row>
    <row r="165" spans="2:11" ht="15.6" x14ac:dyDescent="0.3">
      <c r="B165" s="589"/>
      <c r="C165" s="590" t="s">
        <v>424</v>
      </c>
      <c r="D165" s="590"/>
      <c r="E165" s="591"/>
      <c r="F165" s="449"/>
    </row>
    <row r="166" spans="2:11" ht="15.6" x14ac:dyDescent="0.3">
      <c r="B166" s="387"/>
      <c r="C166" s="170"/>
      <c r="D166" s="170"/>
      <c r="E166" s="165"/>
      <c r="F166" s="210"/>
    </row>
    <row r="167" spans="2:11" ht="16.2" thickBot="1" x14ac:dyDescent="0.35">
      <c r="B167" s="592"/>
      <c r="C167" s="593" t="s">
        <v>425</v>
      </c>
      <c r="D167" s="593"/>
      <c r="E167" s="594"/>
      <c r="F167" s="595">
        <f>SUM(F165:F166)</f>
        <v>0</v>
      </c>
    </row>
    <row r="168" spans="2:11" ht="15.6" x14ac:dyDescent="0.3">
      <c r="B168" s="589"/>
      <c r="C168" s="590" t="s">
        <v>426</v>
      </c>
      <c r="D168" s="590"/>
      <c r="E168" s="591"/>
      <c r="F168" s="449"/>
    </row>
    <row r="169" spans="2:11" ht="15.6" x14ac:dyDescent="0.3">
      <c r="B169" s="387"/>
      <c r="C169" s="170"/>
      <c r="D169" s="170"/>
      <c r="E169" s="165"/>
      <c r="F169" s="210"/>
    </row>
    <row r="170" spans="2:11" ht="16.2" thickBot="1" x14ac:dyDescent="0.35">
      <c r="B170" s="592"/>
      <c r="C170" s="593" t="s">
        <v>427</v>
      </c>
      <c r="D170" s="593"/>
      <c r="E170" s="594"/>
      <c r="F170" s="595">
        <f>SUM(F168:F169)</f>
        <v>0</v>
      </c>
    </row>
    <row r="171" spans="2:11" ht="16.2" thickBot="1" x14ac:dyDescent="0.35">
      <c r="B171" s="98">
        <f>B2</f>
        <v>43830</v>
      </c>
      <c r="C171" s="92" t="s">
        <v>2</v>
      </c>
      <c r="D171" s="92"/>
      <c r="E171" s="509"/>
      <c r="F171" s="99">
        <f>F164+F167+F170</f>
        <v>48.66</v>
      </c>
    </row>
    <row r="172" spans="2:11" ht="16.2" thickBot="1" x14ac:dyDescent="0.35">
      <c r="B172" s="9"/>
      <c r="C172" s="9"/>
      <c r="D172" s="9"/>
      <c r="E172" s="9"/>
      <c r="F172" s="10"/>
    </row>
    <row r="173" spans="2:11" ht="15.6" x14ac:dyDescent="0.3">
      <c r="B173" s="514"/>
      <c r="C173" s="156"/>
      <c r="D173" s="157"/>
      <c r="E173" s="157" t="s">
        <v>366</v>
      </c>
      <c r="F173" s="158"/>
    </row>
    <row r="174" spans="2:11" ht="16.2" thickBot="1" x14ac:dyDescent="0.35">
      <c r="B174" s="142"/>
      <c r="C174" s="588" t="s">
        <v>423</v>
      </c>
      <c r="D174" s="588"/>
      <c r="E174" s="588"/>
      <c r="F174" s="178"/>
      <c r="H174" s="348"/>
      <c r="I174" s="116"/>
      <c r="J174" s="116"/>
      <c r="K174" s="7"/>
    </row>
    <row r="175" spans="2:11" ht="13.8" thickBot="1" x14ac:dyDescent="0.3">
      <c r="H175" s="348"/>
      <c r="I175" s="116"/>
      <c r="J175" s="116"/>
      <c r="K175" s="116"/>
    </row>
    <row r="176" spans="2:11" ht="15.6" x14ac:dyDescent="0.3">
      <c r="B176" s="223" t="s">
        <v>122</v>
      </c>
      <c r="C176" s="182"/>
      <c r="D176" s="182"/>
      <c r="E176" s="397" t="s">
        <v>119</v>
      </c>
      <c r="F176" s="394"/>
      <c r="H176" s="348"/>
      <c r="I176" s="116"/>
      <c r="J176" s="116"/>
      <c r="K176" s="204"/>
    </row>
    <row r="177" spans="2:11" ht="15.6" x14ac:dyDescent="0.3">
      <c r="B177" s="105">
        <v>43100</v>
      </c>
      <c r="C177" s="227" t="s">
        <v>2</v>
      </c>
      <c r="D177" s="227"/>
      <c r="E177" s="227"/>
      <c r="F177" s="152">
        <v>1376.33</v>
      </c>
      <c r="G177" s="173"/>
      <c r="H177" s="116" t="e">
        <f>#REF!+#REF!</f>
        <v>#REF!</v>
      </c>
      <c r="J177" s="95"/>
      <c r="K177" s="204"/>
    </row>
    <row r="178" spans="2:11" ht="15.6" x14ac:dyDescent="0.3">
      <c r="B178" s="377"/>
      <c r="C178" s="415" t="s">
        <v>362</v>
      </c>
      <c r="D178" s="415"/>
      <c r="E178" s="415"/>
      <c r="F178" s="172"/>
      <c r="G178" s="173"/>
      <c r="J178" s="95"/>
      <c r="K178" s="204"/>
    </row>
    <row r="179" spans="2:11" ht="15.6" x14ac:dyDescent="0.3">
      <c r="B179" s="377">
        <v>43109</v>
      </c>
      <c r="C179" s="415" t="s">
        <v>367</v>
      </c>
      <c r="D179" s="415"/>
      <c r="E179" s="415"/>
      <c r="F179" s="172">
        <v>-945.01</v>
      </c>
      <c r="G179" s="173"/>
      <c r="H179" s="7" t="s">
        <v>379</v>
      </c>
      <c r="K179" s="204"/>
    </row>
    <row r="180" spans="2:11" ht="15.6" x14ac:dyDescent="0.3">
      <c r="B180" s="377">
        <v>43122</v>
      </c>
      <c r="C180" s="415" t="s">
        <v>371</v>
      </c>
      <c r="D180" s="415"/>
      <c r="E180" s="415"/>
      <c r="F180" s="172">
        <v>-199.65</v>
      </c>
      <c r="G180" s="173"/>
      <c r="H180" s="7" t="s">
        <v>377</v>
      </c>
      <c r="K180" s="204"/>
    </row>
    <row r="181" spans="2:11" ht="15.6" x14ac:dyDescent="0.3">
      <c r="B181" s="377">
        <v>43166</v>
      </c>
      <c r="C181" s="415" t="s">
        <v>368</v>
      </c>
      <c r="D181" s="415"/>
      <c r="E181" s="415"/>
      <c r="F181" s="172">
        <v>-1564.6</v>
      </c>
      <c r="G181" s="173"/>
      <c r="H181" s="7" t="s">
        <v>378</v>
      </c>
      <c r="K181" s="204"/>
    </row>
    <row r="182" spans="2:11" ht="15.6" x14ac:dyDescent="0.3">
      <c r="B182" s="377">
        <v>43234</v>
      </c>
      <c r="C182" s="415" t="s">
        <v>382</v>
      </c>
      <c r="D182" s="415"/>
      <c r="E182" s="415"/>
      <c r="F182" s="172">
        <v>-504.56</v>
      </c>
      <c r="G182" s="173"/>
      <c r="H182" s="7" t="s">
        <v>378</v>
      </c>
      <c r="K182" s="204"/>
    </row>
    <row r="183" spans="2:11" ht="15.6" x14ac:dyDescent="0.3">
      <c r="B183" s="377">
        <v>43286</v>
      </c>
      <c r="C183" s="415" t="s">
        <v>387</v>
      </c>
      <c r="D183" s="415"/>
      <c r="E183" s="415"/>
      <c r="F183" s="172">
        <v>-693.87</v>
      </c>
      <c r="G183" s="173"/>
      <c r="H183" s="7" t="s">
        <v>404</v>
      </c>
      <c r="K183" s="204"/>
    </row>
    <row r="184" spans="2:11" ht="15.6" x14ac:dyDescent="0.3">
      <c r="B184" s="377">
        <v>43382</v>
      </c>
      <c r="C184" s="415" t="s">
        <v>398</v>
      </c>
      <c r="D184" s="415"/>
      <c r="E184" s="415"/>
      <c r="F184" s="172">
        <v>-250</v>
      </c>
      <c r="G184" s="173"/>
      <c r="H184" s="7" t="s">
        <v>377</v>
      </c>
      <c r="K184" s="204"/>
    </row>
    <row r="185" spans="2:11" ht="15.6" x14ac:dyDescent="0.3">
      <c r="B185" s="377">
        <v>43443</v>
      </c>
      <c r="C185" s="415" t="s">
        <v>405</v>
      </c>
      <c r="D185" s="415"/>
      <c r="E185" s="415"/>
      <c r="F185" s="172">
        <f>-5799.99</f>
        <v>-5799.99</v>
      </c>
      <c r="G185" s="173"/>
      <c r="H185" s="7" t="s">
        <v>379</v>
      </c>
      <c r="K185" s="204"/>
    </row>
    <row r="186" spans="2:11" ht="15.6" x14ac:dyDescent="0.3">
      <c r="B186" s="377">
        <v>43447</v>
      </c>
      <c r="C186" s="415" t="s">
        <v>406</v>
      </c>
      <c r="D186" s="415"/>
      <c r="E186" s="415"/>
      <c r="F186" s="172">
        <v>-3000</v>
      </c>
      <c r="G186" s="173"/>
      <c r="H186" s="7" t="s">
        <v>467</v>
      </c>
      <c r="K186" s="204"/>
    </row>
    <row r="187" spans="2:11" ht="15.6" x14ac:dyDescent="0.3">
      <c r="B187" s="377"/>
      <c r="C187" s="415"/>
      <c r="D187" s="415"/>
      <c r="E187" s="415"/>
      <c r="F187" s="172"/>
      <c r="G187" s="173"/>
      <c r="K187" s="204"/>
    </row>
    <row r="188" spans="2:11" ht="16.2" thickBot="1" x14ac:dyDescent="0.35">
      <c r="B188" s="377"/>
      <c r="C188" s="415" t="s">
        <v>364</v>
      </c>
      <c r="D188" s="415"/>
      <c r="E188" s="415"/>
      <c r="F188" s="172">
        <f>SUM(F178:F187)</f>
        <v>-12957.68</v>
      </c>
      <c r="G188" s="173"/>
      <c r="J188" s="7" t="s">
        <v>384</v>
      </c>
      <c r="K188" s="204"/>
    </row>
    <row r="189" spans="2:11" ht="15.6" x14ac:dyDescent="0.3">
      <c r="B189" s="529"/>
      <c r="C189" s="530" t="s">
        <v>484</v>
      </c>
      <c r="D189" s="530"/>
      <c r="E189" s="530"/>
      <c r="F189" s="531"/>
      <c r="G189" s="173"/>
      <c r="J189" s="116" t="e">
        <f>F193+#REF!+#REF!</f>
        <v>#REF!</v>
      </c>
      <c r="K189" s="204" t="s">
        <v>385</v>
      </c>
    </row>
    <row r="190" spans="2:11" ht="15.6" x14ac:dyDescent="0.3">
      <c r="B190" s="377">
        <v>42759</v>
      </c>
      <c r="C190" s="415" t="s">
        <v>370</v>
      </c>
      <c r="D190" s="415"/>
      <c r="E190" s="415"/>
      <c r="F190" s="172">
        <v>7120</v>
      </c>
      <c r="G190" s="173"/>
      <c r="H190" s="7" t="s">
        <v>376</v>
      </c>
      <c r="J190" s="116" t="e">
        <f>F188+#REF!</f>
        <v>#REF!</v>
      </c>
      <c r="K190" s="204" t="s">
        <v>386</v>
      </c>
    </row>
    <row r="191" spans="2:11" ht="15.6" x14ac:dyDescent="0.3">
      <c r="B191" s="377">
        <v>43442</v>
      </c>
      <c r="C191" s="377" t="s">
        <v>402</v>
      </c>
      <c r="D191" s="377"/>
      <c r="E191" s="377"/>
      <c r="F191" s="538">
        <v>232.6</v>
      </c>
      <c r="G191" s="173"/>
      <c r="H191" s="7" t="s">
        <v>376</v>
      </c>
      <c r="J191" s="116"/>
      <c r="K191" s="204"/>
    </row>
    <row r="192" spans="2:11" ht="15.6" x14ac:dyDescent="0.3">
      <c r="B192" s="377">
        <v>43442</v>
      </c>
      <c r="C192" s="415" t="s">
        <v>403</v>
      </c>
      <c r="D192" s="415"/>
      <c r="E192" s="415"/>
      <c r="F192" s="172">
        <v>598.16999999999996</v>
      </c>
      <c r="G192" s="173"/>
      <c r="H192" s="7" t="s">
        <v>376</v>
      </c>
      <c r="J192" s="116"/>
      <c r="K192" s="204"/>
    </row>
    <row r="193" spans="2:11" ht="16.2" thickBot="1" x14ac:dyDescent="0.35">
      <c r="B193" s="532"/>
      <c r="C193" s="533" t="s">
        <v>365</v>
      </c>
      <c r="D193" s="533"/>
      <c r="E193" s="533"/>
      <c r="F193" s="72">
        <f>SUM(F189:F192)</f>
        <v>7950.77</v>
      </c>
      <c r="G193" s="173"/>
      <c r="K193" s="204"/>
    </row>
    <row r="194" spans="2:11" ht="16.2" thickBot="1" x14ac:dyDescent="0.35">
      <c r="B194" s="511">
        <f>B2</f>
        <v>43830</v>
      </c>
      <c r="C194" s="512" t="s">
        <v>2</v>
      </c>
      <c r="D194" s="512"/>
      <c r="E194" s="512"/>
      <c r="F194" s="513">
        <f>F177+F188+F193</f>
        <v>-3630.58</v>
      </c>
      <c r="G194" s="173"/>
      <c r="H194" s="116"/>
      <c r="K194" s="204"/>
    </row>
    <row r="195" spans="2:11" ht="15.6" x14ac:dyDescent="0.3">
      <c r="B195" s="589"/>
      <c r="C195" s="590" t="s">
        <v>424</v>
      </c>
      <c r="D195" s="590"/>
      <c r="E195" s="591"/>
      <c r="F195" s="449"/>
      <c r="I195" s="116">
        <f>F194+F199</f>
        <v>-5000</v>
      </c>
      <c r="K195" s="204"/>
    </row>
    <row r="196" spans="2:11" ht="15.6" x14ac:dyDescent="0.3">
      <c r="B196" s="387">
        <v>43481</v>
      </c>
      <c r="C196" s="170" t="s">
        <v>429</v>
      </c>
      <c r="D196" s="170"/>
      <c r="E196" s="165"/>
      <c r="F196" s="210">
        <v>-1000</v>
      </c>
      <c r="H196" s="624" t="s">
        <v>431</v>
      </c>
      <c r="K196" s="204"/>
    </row>
    <row r="197" spans="2:11" ht="15.6" x14ac:dyDescent="0.3">
      <c r="B197" s="387">
        <v>43773</v>
      </c>
      <c r="C197" s="170" t="s">
        <v>503</v>
      </c>
      <c r="D197" s="170"/>
      <c r="E197" s="165"/>
      <c r="F197" s="210">
        <v>-369.42</v>
      </c>
      <c r="H197" s="626" t="s">
        <v>504</v>
      </c>
      <c r="I197" s="624" t="s">
        <v>509</v>
      </c>
      <c r="K197" s="204"/>
    </row>
    <row r="198" spans="2:11" ht="15.6" x14ac:dyDescent="0.3">
      <c r="B198" s="387"/>
      <c r="C198" s="170"/>
      <c r="D198" s="170"/>
      <c r="E198" s="165"/>
      <c r="F198" s="210"/>
      <c r="H198" s="7" t="s">
        <v>505</v>
      </c>
      <c r="K198" s="204"/>
    </row>
    <row r="199" spans="2:11" ht="16.2" thickBot="1" x14ac:dyDescent="0.35">
      <c r="B199" s="592"/>
      <c r="C199" s="593" t="s">
        <v>425</v>
      </c>
      <c r="D199" s="593"/>
      <c r="E199" s="594"/>
      <c r="F199" s="595">
        <f>SUM(F195:F198)</f>
        <v>-1369.42</v>
      </c>
      <c r="K199" s="204"/>
    </row>
    <row r="200" spans="2:11" ht="15.6" x14ac:dyDescent="0.3">
      <c r="B200" s="589"/>
      <c r="C200" s="590" t="s">
        <v>483</v>
      </c>
      <c r="D200" s="590"/>
      <c r="E200" s="591"/>
      <c r="F200" s="449"/>
      <c r="K200" s="204"/>
    </row>
    <row r="201" spans="2:11" ht="15.6" x14ac:dyDescent="0.3">
      <c r="B201" s="387">
        <v>43481</v>
      </c>
      <c r="C201" s="170" t="s">
        <v>428</v>
      </c>
      <c r="D201" s="170"/>
      <c r="E201" s="165"/>
      <c r="F201" s="210">
        <v>1000</v>
      </c>
      <c r="H201" s="624" t="s">
        <v>430</v>
      </c>
      <c r="K201" s="204"/>
    </row>
    <row r="202" spans="2:11" ht="15.6" x14ac:dyDescent="0.3">
      <c r="B202" s="387">
        <v>43483</v>
      </c>
      <c r="C202" s="170" t="s">
        <v>432</v>
      </c>
      <c r="D202" s="170"/>
      <c r="E202" s="165"/>
      <c r="F202" s="210">
        <v>3000</v>
      </c>
      <c r="H202" s="624" t="s">
        <v>376</v>
      </c>
      <c r="K202" s="204"/>
    </row>
    <row r="203" spans="2:11" ht="15.6" x14ac:dyDescent="0.3">
      <c r="B203" s="387">
        <v>43772</v>
      </c>
      <c r="C203" s="170" t="s">
        <v>468</v>
      </c>
      <c r="D203" s="170"/>
      <c r="E203" s="165"/>
      <c r="F203" s="625">
        <v>1000</v>
      </c>
      <c r="H203" s="624" t="s">
        <v>487</v>
      </c>
      <c r="K203" s="204"/>
    </row>
    <row r="204" spans="2:11" ht="16.2" thickBot="1" x14ac:dyDescent="0.35">
      <c r="B204" s="592"/>
      <c r="C204" s="593" t="s">
        <v>427</v>
      </c>
      <c r="D204" s="593"/>
      <c r="E204" s="594"/>
      <c r="F204" s="595">
        <f>SUM(F200:F203)</f>
        <v>5000</v>
      </c>
      <c r="K204" s="204"/>
    </row>
    <row r="205" spans="2:11" ht="16.2" thickBot="1" x14ac:dyDescent="0.35">
      <c r="B205" s="98">
        <f>B2</f>
        <v>43830</v>
      </c>
      <c r="C205" s="92" t="s">
        <v>2</v>
      </c>
      <c r="D205" s="92"/>
      <c r="E205" s="509"/>
      <c r="F205" s="99">
        <f>F194+F199+F204</f>
        <v>0</v>
      </c>
      <c r="K205" s="204"/>
    </row>
    <row r="206" spans="2:11" ht="15.6" x14ac:dyDescent="0.3">
      <c r="B206" s="622"/>
      <c r="C206" s="588" t="s">
        <v>501</v>
      </c>
      <c r="D206" s="588"/>
      <c r="E206" s="541"/>
      <c r="F206" s="541"/>
      <c r="K206" s="204"/>
    </row>
    <row r="207" spans="2:11" ht="16.2" thickBot="1" x14ac:dyDescent="0.35">
      <c r="B207" s="13"/>
      <c r="C207" s="203"/>
      <c r="D207" s="203"/>
      <c r="E207" s="202"/>
      <c r="F207" s="202"/>
      <c r="K207" s="204"/>
    </row>
    <row r="208" spans="2:11" ht="15.6" x14ac:dyDescent="0.3">
      <c r="B208" s="223" t="s">
        <v>226</v>
      </c>
      <c r="C208" s="182"/>
      <c r="D208" s="182"/>
      <c r="E208" s="397" t="s">
        <v>141</v>
      </c>
      <c r="F208" s="394"/>
      <c r="K208" s="204"/>
    </row>
    <row r="209" spans="2:10" ht="15.6" x14ac:dyDescent="0.3">
      <c r="B209" s="105">
        <f>B177</f>
        <v>43100</v>
      </c>
      <c r="C209" s="227" t="s">
        <v>2</v>
      </c>
      <c r="D209" s="114"/>
      <c r="E209" s="115"/>
      <c r="F209" s="152">
        <v>926</v>
      </c>
      <c r="G209" s="504"/>
      <c r="H209" s="116" t="e">
        <f>#REF!+#REF!</f>
        <v>#REF!</v>
      </c>
    </row>
    <row r="210" spans="2:10" ht="15.6" x14ac:dyDescent="0.3">
      <c r="B210" s="377"/>
      <c r="C210" s="415" t="s">
        <v>362</v>
      </c>
      <c r="D210" s="415"/>
      <c r="E210" s="415"/>
      <c r="F210" s="172"/>
      <c r="G210" s="504"/>
    </row>
    <row r="211" spans="2:10" ht="15.6" x14ac:dyDescent="0.3">
      <c r="B211" s="377"/>
      <c r="C211" s="415" t="s">
        <v>364</v>
      </c>
      <c r="D211" s="415"/>
      <c r="E211" s="415"/>
      <c r="F211" s="172">
        <f>SUM(F210:F210)</f>
        <v>0</v>
      </c>
      <c r="G211" s="504"/>
      <c r="J211" s="116"/>
    </row>
    <row r="212" spans="2:10" ht="15.6" x14ac:dyDescent="0.3">
      <c r="B212" s="377"/>
      <c r="C212" s="415" t="s">
        <v>363</v>
      </c>
      <c r="D212" s="415"/>
      <c r="E212" s="415"/>
      <c r="F212" s="172"/>
      <c r="G212" s="504"/>
      <c r="J212" s="116"/>
    </row>
    <row r="213" spans="2:10" ht="16.2" thickBot="1" x14ac:dyDescent="0.35">
      <c r="B213" s="377"/>
      <c r="C213" s="415" t="s">
        <v>365</v>
      </c>
      <c r="D213" s="415"/>
      <c r="E213" s="415"/>
      <c r="F213" s="172">
        <f>SUM(F212:F212)</f>
        <v>0</v>
      </c>
      <c r="G213" s="504"/>
      <c r="J213" s="116"/>
    </row>
    <row r="214" spans="2:10" ht="16.2" thickBot="1" x14ac:dyDescent="0.35">
      <c r="B214" s="511">
        <v>43465</v>
      </c>
      <c r="C214" s="512" t="s">
        <v>2</v>
      </c>
      <c r="D214" s="512"/>
      <c r="E214" s="512"/>
      <c r="F214" s="513">
        <f>F209+F211+F213</f>
        <v>926</v>
      </c>
      <c r="G214" s="504"/>
      <c r="J214" s="116"/>
    </row>
    <row r="215" spans="2:10" ht="15.6" x14ac:dyDescent="0.3">
      <c r="B215" s="589"/>
      <c r="C215" s="590" t="s">
        <v>424</v>
      </c>
      <c r="D215" s="590"/>
      <c r="E215" s="591"/>
      <c r="F215" s="449"/>
      <c r="J215" s="116"/>
    </row>
    <row r="216" spans="2:10" ht="15.6" x14ac:dyDescent="0.3">
      <c r="B216" s="387"/>
      <c r="C216" s="170"/>
      <c r="D216" s="170"/>
      <c r="E216" s="165"/>
      <c r="F216" s="210"/>
      <c r="J216" s="116"/>
    </row>
    <row r="217" spans="2:10" ht="16.2" thickBot="1" x14ac:dyDescent="0.35">
      <c r="B217" s="592"/>
      <c r="C217" s="593" t="s">
        <v>425</v>
      </c>
      <c r="D217" s="593"/>
      <c r="E217" s="594"/>
      <c r="F217" s="595">
        <f>SUM(F215:F216)</f>
        <v>0</v>
      </c>
    </row>
    <row r="218" spans="2:10" ht="15.6" x14ac:dyDescent="0.3">
      <c r="B218" s="589"/>
      <c r="C218" s="590" t="s">
        <v>485</v>
      </c>
      <c r="D218" s="590"/>
      <c r="E218" s="591"/>
      <c r="F218" s="449"/>
      <c r="J218" s="116"/>
    </row>
    <row r="219" spans="2:10" ht="15.6" x14ac:dyDescent="0.3">
      <c r="B219" s="387">
        <v>43634</v>
      </c>
      <c r="C219" s="170" t="s">
        <v>469</v>
      </c>
      <c r="D219" s="170"/>
      <c r="E219" s="165"/>
      <c r="F219" s="210">
        <v>100</v>
      </c>
      <c r="G219" t="s">
        <v>472</v>
      </c>
      <c r="H219" s="624" t="s">
        <v>457</v>
      </c>
    </row>
    <row r="220" spans="2:10" ht="15.6" x14ac:dyDescent="0.3">
      <c r="B220" s="387">
        <v>43617</v>
      </c>
      <c r="C220" s="170" t="s">
        <v>470</v>
      </c>
      <c r="D220" s="170"/>
      <c r="E220" s="165"/>
      <c r="F220" s="210">
        <v>1000</v>
      </c>
      <c r="G220" t="s">
        <v>472</v>
      </c>
      <c r="H220" s="624" t="s">
        <v>457</v>
      </c>
    </row>
    <row r="221" spans="2:10" ht="15.6" x14ac:dyDescent="0.3">
      <c r="B221" s="387"/>
      <c r="C221" s="170"/>
      <c r="D221" s="170"/>
      <c r="E221" s="165"/>
      <c r="F221" s="210"/>
    </row>
    <row r="222" spans="2:10" ht="16.2" thickBot="1" x14ac:dyDescent="0.35">
      <c r="B222" s="592"/>
      <c r="C222" s="593" t="s">
        <v>427</v>
      </c>
      <c r="D222" s="593"/>
      <c r="E222" s="594"/>
      <c r="F222" s="595">
        <f>SUM(F218:F221)</f>
        <v>1100</v>
      </c>
    </row>
    <row r="223" spans="2:10" ht="16.2" thickBot="1" x14ac:dyDescent="0.35">
      <c r="B223" s="98">
        <f>B2</f>
        <v>43830</v>
      </c>
      <c r="C223" s="92" t="s">
        <v>2</v>
      </c>
      <c r="D223" s="92"/>
      <c r="E223" s="509"/>
      <c r="F223" s="99">
        <f>F214+F217+F222</f>
        <v>2026</v>
      </c>
    </row>
    <row r="225" spans="2:8" ht="13.8" thickBot="1" x14ac:dyDescent="0.3"/>
    <row r="226" spans="2:8" ht="15.6" x14ac:dyDescent="0.3">
      <c r="B226" s="589" t="s">
        <v>347</v>
      </c>
      <c r="C226" s="590" t="s">
        <v>426</v>
      </c>
      <c r="D226" s="590"/>
      <c r="E226" s="620" t="s">
        <v>486</v>
      </c>
      <c r="F226" s="449"/>
    </row>
    <row r="227" spans="2:8" ht="15.6" x14ac:dyDescent="0.3">
      <c r="B227" s="387">
        <v>43727</v>
      </c>
      <c r="C227" s="170" t="s">
        <v>475</v>
      </c>
      <c r="D227" s="170"/>
      <c r="E227" s="165"/>
      <c r="F227" s="210">
        <v>0.97</v>
      </c>
      <c r="H227" s="624" t="s">
        <v>457</v>
      </c>
    </row>
    <row r="228" spans="2:8" ht="15.6" x14ac:dyDescent="0.3">
      <c r="B228" s="387">
        <v>43731</v>
      </c>
      <c r="C228" s="170" t="s">
        <v>475</v>
      </c>
      <c r="D228" s="170"/>
      <c r="E228" s="165"/>
      <c r="F228" s="210">
        <v>0.97</v>
      </c>
      <c r="H228" s="624" t="s">
        <v>457</v>
      </c>
    </row>
    <row r="229" spans="2:8" ht="15.6" x14ac:dyDescent="0.3">
      <c r="B229" s="387">
        <v>43761</v>
      </c>
      <c r="C229" s="170" t="s">
        <v>475</v>
      </c>
      <c r="D229" s="170"/>
      <c r="E229" s="165"/>
      <c r="F229" s="210">
        <v>10.69</v>
      </c>
      <c r="H229" s="624" t="s">
        <v>457</v>
      </c>
    </row>
    <row r="230" spans="2:8" ht="15.6" x14ac:dyDescent="0.3">
      <c r="B230" s="387">
        <v>43762</v>
      </c>
      <c r="C230" s="170" t="s">
        <v>475</v>
      </c>
      <c r="D230" s="170"/>
      <c r="E230" s="165"/>
      <c r="F230" s="210">
        <v>43.74</v>
      </c>
      <c r="H230" s="624" t="s">
        <v>457</v>
      </c>
    </row>
    <row r="231" spans="2:8" ht="15.6" x14ac:dyDescent="0.3">
      <c r="B231" s="387">
        <v>43766</v>
      </c>
      <c r="C231" s="170" t="s">
        <v>475</v>
      </c>
      <c r="D231" s="170"/>
      <c r="E231" s="165"/>
      <c r="F231" s="210">
        <v>18.48</v>
      </c>
      <c r="H231" s="624" t="s">
        <v>457</v>
      </c>
    </row>
    <row r="232" spans="2:8" ht="15.6" x14ac:dyDescent="0.3">
      <c r="B232" s="387">
        <v>43768</v>
      </c>
      <c r="C232" s="170" t="s">
        <v>475</v>
      </c>
      <c r="D232" s="170"/>
      <c r="E232" s="165"/>
      <c r="F232" s="210">
        <v>155.6</v>
      </c>
      <c r="H232" s="624" t="s">
        <v>457</v>
      </c>
    </row>
    <row r="233" spans="2:8" ht="15.6" x14ac:dyDescent="0.3">
      <c r="B233" s="387" t="s">
        <v>508</v>
      </c>
      <c r="C233" s="170"/>
      <c r="D233" s="170"/>
      <c r="E233" s="165"/>
      <c r="F233" s="210">
        <v>48.61</v>
      </c>
      <c r="H233" s="624" t="s">
        <v>457</v>
      </c>
    </row>
    <row r="234" spans="2:8" ht="16.2" thickBot="1" x14ac:dyDescent="0.35">
      <c r="B234" s="592"/>
      <c r="C234" s="593" t="s">
        <v>427</v>
      </c>
      <c r="D234" s="593"/>
      <c r="E234" s="594"/>
      <c r="F234" s="595">
        <f>SUM(F226:F233)</f>
        <v>279.06</v>
      </c>
    </row>
    <row r="235" spans="2:8" ht="15.6" x14ac:dyDescent="0.3">
      <c r="B235" s="589"/>
      <c r="C235" s="590" t="s">
        <v>424</v>
      </c>
      <c r="D235" s="590"/>
      <c r="E235" s="591"/>
      <c r="F235" s="449"/>
    </row>
    <row r="236" spans="2:8" ht="15.6" x14ac:dyDescent="0.3">
      <c r="B236" s="387">
        <v>43770</v>
      </c>
      <c r="C236" s="170" t="s">
        <v>478</v>
      </c>
      <c r="D236" s="170"/>
      <c r="E236" s="165"/>
      <c r="F236" s="210">
        <f>-230.45</f>
        <v>-230.45</v>
      </c>
      <c r="H236" s="624" t="s">
        <v>457</v>
      </c>
    </row>
    <row r="237" spans="2:8" ht="15.6" x14ac:dyDescent="0.3">
      <c r="B237" s="387">
        <v>43811</v>
      </c>
      <c r="C237" s="170" t="s">
        <v>478</v>
      </c>
      <c r="D237" s="170"/>
      <c r="E237" s="165"/>
      <c r="F237" s="210">
        <v>-48.61</v>
      </c>
      <c r="H237" s="624" t="s">
        <v>457</v>
      </c>
    </row>
    <row r="238" spans="2:8" ht="16.2" thickBot="1" x14ac:dyDescent="0.35">
      <c r="B238" s="592"/>
      <c r="C238" s="593" t="s">
        <v>479</v>
      </c>
      <c r="D238" s="593"/>
      <c r="E238" s="594"/>
      <c r="F238" s="595">
        <f>SUM(F236:F237)</f>
        <v>-279.06</v>
      </c>
    </row>
    <row r="239" spans="2:8" ht="16.2" thickBot="1" x14ac:dyDescent="0.35">
      <c r="B239" s="98"/>
      <c r="C239" s="92" t="s">
        <v>480</v>
      </c>
      <c r="D239" s="618">
        <f>'31 dec 2019'!G13</f>
        <v>43830</v>
      </c>
      <c r="E239" s="509"/>
      <c r="F239" s="99">
        <f>F234+F238</f>
        <v>0</v>
      </c>
    </row>
    <row r="240" spans="2:8" ht="15.6" x14ac:dyDescent="0.3">
      <c r="B240" s="417"/>
      <c r="C240" s="8"/>
      <c r="D240" s="8"/>
      <c r="E240" s="12"/>
      <c r="F240" s="202"/>
    </row>
    <row r="241" spans="2:6" ht="16.2" thickBot="1" x14ac:dyDescent="0.35">
      <c r="B241" s="417"/>
      <c r="C241" s="8"/>
      <c r="D241" s="8"/>
      <c r="E241" s="12"/>
      <c r="F241" s="202"/>
    </row>
    <row r="242" spans="2:6" ht="16.2" thickBot="1" x14ac:dyDescent="0.35">
      <c r="B242" s="223" t="s">
        <v>140</v>
      </c>
      <c r="C242" s="182"/>
      <c r="D242" s="182"/>
      <c r="E242" s="397" t="s">
        <v>243</v>
      </c>
      <c r="F242" s="394"/>
    </row>
    <row r="243" spans="2:6" ht="16.2" thickBot="1" x14ac:dyDescent="0.35">
      <c r="B243" s="515">
        <v>43465</v>
      </c>
      <c r="C243" s="64"/>
      <c r="D243" s="64"/>
      <c r="E243" s="201"/>
      <c r="F243" s="513">
        <f>'jaarrek 2017 begr 2018 '!H8</f>
        <v>704.3300000000072</v>
      </c>
    </row>
    <row r="244" spans="2:6" ht="15.6" x14ac:dyDescent="0.3">
      <c r="B244" s="19"/>
      <c r="C244" s="64"/>
      <c r="D244" s="64"/>
      <c r="E244" s="201"/>
      <c r="F244" s="358"/>
    </row>
    <row r="245" spans="2:6" ht="15.6" x14ac:dyDescent="0.3">
      <c r="B245" s="359">
        <f>B2</f>
        <v>43830</v>
      </c>
      <c r="C245" s="211" t="s">
        <v>311</v>
      </c>
      <c r="D245" s="228"/>
      <c r="E245" s="217"/>
      <c r="F245" s="210">
        <f>'31 dec 2019'!G29</f>
        <v>704.33000000000902</v>
      </c>
    </row>
    <row r="246" spans="2:6" ht="16.2" thickBot="1" x14ac:dyDescent="0.35">
      <c r="B246" s="213"/>
      <c r="C246" s="214"/>
      <c r="D246" s="215"/>
      <c r="E246" s="215"/>
      <c r="F246" s="216"/>
    </row>
  </sheetData>
  <pageMargins left="0.7" right="0.7" top="0.75" bottom="0.75" header="0.3" footer="0.3"/>
  <pageSetup paperSize="9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362"/>
  <sheetViews>
    <sheetView topLeftCell="A353" workbookViewId="0">
      <selection activeCell="A182" sqref="A182:IV182"/>
    </sheetView>
  </sheetViews>
  <sheetFormatPr defaultRowHeight="13.2" x14ac:dyDescent="0.25"/>
  <cols>
    <col min="2" max="2" width="14.88671875" customWidth="1"/>
    <col min="3" max="3" width="11.88671875" customWidth="1"/>
    <col min="4" max="4" width="13.44140625" customWidth="1"/>
    <col min="5" max="6" width="17.6640625" customWidth="1"/>
    <col min="7" max="7" width="3.88671875" customWidth="1"/>
    <col min="8" max="8" width="17.109375" customWidth="1"/>
    <col min="10" max="10" width="22.44140625" customWidth="1"/>
    <col min="11" max="12" width="16" customWidth="1"/>
    <col min="13" max="13" width="15.6640625" customWidth="1"/>
  </cols>
  <sheetData>
    <row r="1" spans="1:10" ht="21" x14ac:dyDescent="0.4">
      <c r="B1" s="150" t="s">
        <v>419</v>
      </c>
      <c r="H1" t="s">
        <v>360</v>
      </c>
    </row>
    <row r="2" spans="1:10" ht="17.399999999999999" x14ac:dyDescent="0.3">
      <c r="B2" s="250">
        <v>43465</v>
      </c>
    </row>
    <row r="4" spans="1:10" ht="13.8" thickBot="1" x14ac:dyDescent="0.3"/>
    <row r="5" spans="1:10" ht="13.8" thickBot="1" x14ac:dyDescent="0.3">
      <c r="B5" s="368" t="s">
        <v>130</v>
      </c>
      <c r="C5" s="369"/>
      <c r="D5" s="370"/>
    </row>
    <row r="6" spans="1:10" ht="15.6" x14ac:dyDescent="0.3">
      <c r="A6" s="95"/>
      <c r="B6" s="223" t="s">
        <v>1</v>
      </c>
      <c r="C6" s="376"/>
      <c r="D6" s="376"/>
      <c r="E6" s="199" t="s">
        <v>110</v>
      </c>
      <c r="F6" s="153" t="s">
        <v>129</v>
      </c>
    </row>
    <row r="7" spans="1:10" ht="3.75" customHeight="1" x14ac:dyDescent="0.3">
      <c r="B7" s="108"/>
      <c r="C7" s="96" t="s">
        <v>61</v>
      </c>
      <c r="D7" s="95"/>
      <c r="E7" s="95"/>
      <c r="F7" s="104">
        <f>'project 2016'!F9</f>
        <v>696.17</v>
      </c>
    </row>
    <row r="8" spans="1:10" ht="15.6" hidden="1" x14ac:dyDescent="0.3">
      <c r="B8" s="159"/>
      <c r="C8" s="154" t="s">
        <v>80</v>
      </c>
      <c r="D8" s="155"/>
      <c r="E8" s="155"/>
      <c r="F8" s="160"/>
    </row>
    <row r="9" spans="1:10" ht="15.6" hidden="1" x14ac:dyDescent="0.3">
      <c r="B9" s="159"/>
      <c r="C9" s="154" t="s">
        <v>63</v>
      </c>
      <c r="D9" s="155"/>
      <c r="E9" s="155"/>
      <c r="F9" s="160">
        <v>2.17</v>
      </c>
    </row>
    <row r="10" spans="1:10" ht="15.6" hidden="1" x14ac:dyDescent="0.3">
      <c r="B10" s="159">
        <v>42612</v>
      </c>
      <c r="C10" s="154" t="s">
        <v>126</v>
      </c>
      <c r="D10" s="155"/>
      <c r="E10" s="155"/>
      <c r="F10" s="160">
        <f>-308.65</f>
        <v>-308.64999999999998</v>
      </c>
    </row>
    <row r="11" spans="1:10" ht="8.25" hidden="1" customHeight="1" x14ac:dyDescent="0.3">
      <c r="B11" s="378">
        <v>42735</v>
      </c>
      <c r="C11" s="228" t="s">
        <v>2</v>
      </c>
      <c r="D11" s="226"/>
      <c r="E11" s="168"/>
      <c r="F11" s="172">
        <f>'project 2016'!F13</f>
        <v>389.68999999999994</v>
      </c>
      <c r="G11" s="501"/>
      <c r="H11" s="7"/>
    </row>
    <row r="12" spans="1:10" ht="15.6" hidden="1" x14ac:dyDescent="0.3">
      <c r="B12" s="402">
        <v>42736</v>
      </c>
      <c r="C12" s="401" t="s">
        <v>63</v>
      </c>
      <c r="D12" s="401"/>
      <c r="E12" s="401"/>
      <c r="F12" s="160">
        <v>1.1299999999999999</v>
      </c>
      <c r="G12" s="95"/>
      <c r="H12" s="7" t="s">
        <v>329</v>
      </c>
    </row>
    <row r="13" spans="1:10" ht="15.6" hidden="1" x14ac:dyDescent="0.3">
      <c r="B13" s="402" t="s">
        <v>176</v>
      </c>
      <c r="C13" s="401"/>
      <c r="D13" s="401"/>
      <c r="E13" s="401"/>
      <c r="F13" s="160"/>
      <c r="H13" s="7"/>
    </row>
    <row r="14" spans="1:10" ht="15.6" hidden="1" x14ac:dyDescent="0.3">
      <c r="B14" s="402">
        <v>42912</v>
      </c>
      <c r="C14" s="401" t="s">
        <v>256</v>
      </c>
      <c r="D14" s="401"/>
      <c r="E14" s="401"/>
      <c r="F14" s="160">
        <v>-48.2</v>
      </c>
      <c r="G14" s="95"/>
      <c r="H14" s="7" t="s">
        <v>325</v>
      </c>
    </row>
    <row r="15" spans="1:10" ht="15.6" hidden="1" x14ac:dyDescent="0.3">
      <c r="B15" s="402">
        <v>43025</v>
      </c>
      <c r="C15" s="401" t="s">
        <v>275</v>
      </c>
      <c r="D15" s="401"/>
      <c r="E15" s="401"/>
      <c r="F15" s="160">
        <v>-110.1</v>
      </c>
      <c r="G15" s="95"/>
      <c r="H15" s="7" t="s">
        <v>325</v>
      </c>
      <c r="J15" s="425" t="s">
        <v>352</v>
      </c>
    </row>
    <row r="16" spans="1:10" ht="15.6" hidden="1" x14ac:dyDescent="0.3">
      <c r="B16" s="402" t="s">
        <v>304</v>
      </c>
      <c r="C16" s="450"/>
      <c r="D16" s="401"/>
      <c r="E16" s="401"/>
      <c r="F16" s="160">
        <f>SUM(F14:F15)</f>
        <v>-158.30000000000001</v>
      </c>
      <c r="H16" s="7"/>
    </row>
    <row r="17" spans="1:11" ht="16.5" customHeight="1" x14ac:dyDescent="0.3">
      <c r="B17" s="507">
        <v>43100</v>
      </c>
      <c r="C17" s="508" t="s">
        <v>84</v>
      </c>
      <c r="D17" s="508"/>
      <c r="E17" s="508"/>
      <c r="F17" s="104">
        <v>232.52</v>
      </c>
      <c r="G17" s="501"/>
      <c r="H17">
        <v>232.52</v>
      </c>
    </row>
    <row r="18" spans="1:11" ht="15.6" x14ac:dyDescent="0.3">
      <c r="B18" s="377"/>
      <c r="C18" s="415" t="s">
        <v>362</v>
      </c>
      <c r="D18" s="415"/>
      <c r="E18" s="415"/>
      <c r="F18" s="172"/>
      <c r="G18" s="501"/>
    </row>
    <row r="19" spans="1:11" ht="15.6" x14ac:dyDescent="0.3">
      <c r="B19" s="377">
        <v>43442</v>
      </c>
      <c r="C19" s="415" t="s">
        <v>455</v>
      </c>
      <c r="D19" s="415"/>
      <c r="E19" s="415"/>
      <c r="F19" s="172">
        <f>-232.6</f>
        <v>-232.6</v>
      </c>
      <c r="G19" s="501"/>
      <c r="H19" s="7" t="s">
        <v>376</v>
      </c>
    </row>
    <row r="20" spans="1:11" ht="15.6" x14ac:dyDescent="0.3">
      <c r="B20" s="377"/>
      <c r="C20" s="415"/>
      <c r="D20" s="415"/>
      <c r="E20" s="415"/>
      <c r="F20" s="172"/>
      <c r="G20" s="501"/>
    </row>
    <row r="21" spans="1:11" ht="15.6" x14ac:dyDescent="0.3">
      <c r="B21" s="377"/>
      <c r="C21" s="415" t="s">
        <v>364</v>
      </c>
      <c r="D21" s="415"/>
      <c r="E21" s="415"/>
      <c r="F21" s="172">
        <f>SUM(F18:F20)</f>
        <v>-232.6</v>
      </c>
      <c r="G21" s="501"/>
      <c r="H21" s="226" t="s">
        <v>393</v>
      </c>
      <c r="I21" s="168"/>
      <c r="J21" s="168"/>
      <c r="K21" s="168"/>
    </row>
    <row r="22" spans="1:11" ht="15.6" x14ac:dyDescent="0.3">
      <c r="B22" s="377"/>
      <c r="C22" s="415" t="s">
        <v>363</v>
      </c>
      <c r="D22" s="415"/>
      <c r="E22" s="415"/>
      <c r="F22" s="172"/>
      <c r="G22" s="501"/>
    </row>
    <row r="23" spans="1:11" ht="15.6" x14ac:dyDescent="0.3">
      <c r="B23" s="377">
        <v>43101</v>
      </c>
      <c r="C23" s="415" t="s">
        <v>59</v>
      </c>
      <c r="D23" s="415"/>
      <c r="E23" s="415"/>
      <c r="F23" s="172">
        <v>0.08</v>
      </c>
      <c r="G23" s="501"/>
      <c r="H23" s="7" t="s">
        <v>376</v>
      </c>
    </row>
    <row r="24" spans="1:11" ht="15.6" x14ac:dyDescent="0.3">
      <c r="B24" s="377"/>
      <c r="C24" s="415"/>
      <c r="D24" s="415"/>
      <c r="E24" s="415"/>
      <c r="F24" s="172"/>
      <c r="G24" s="501"/>
    </row>
    <row r="25" spans="1:11" ht="15.6" x14ac:dyDescent="0.3">
      <c r="B25" s="377"/>
      <c r="C25" s="415" t="s">
        <v>365</v>
      </c>
      <c r="D25" s="415"/>
      <c r="E25" s="415"/>
      <c r="F25" s="172">
        <f>SUM(F22:F24)</f>
        <v>0.08</v>
      </c>
      <c r="G25" s="501"/>
    </row>
    <row r="26" spans="1:11" ht="15.6" x14ac:dyDescent="0.3">
      <c r="B26" s="507">
        <v>43465</v>
      </c>
      <c r="C26" s="508" t="s">
        <v>2</v>
      </c>
      <c r="D26" s="508"/>
      <c r="E26" s="508"/>
      <c r="F26" s="104">
        <f>F17+F21+F25</f>
        <v>1.5917822615563182E-14</v>
      </c>
      <c r="G26" s="501"/>
      <c r="H26" s="226" t="s">
        <v>393</v>
      </c>
      <c r="I26" s="168"/>
      <c r="J26" s="168"/>
      <c r="K26" s="168"/>
    </row>
    <row r="27" spans="1:11" ht="15.6" x14ac:dyDescent="0.3">
      <c r="B27" s="507"/>
      <c r="C27" s="508"/>
      <c r="D27" s="508"/>
      <c r="E27" s="508"/>
      <c r="F27" s="104"/>
      <c r="G27" s="501"/>
      <c r="H27" s="226"/>
      <c r="I27" s="168"/>
      <c r="J27" s="168"/>
      <c r="K27" s="168"/>
    </row>
    <row r="28" spans="1:11" ht="16.2" thickBot="1" x14ac:dyDescent="0.35">
      <c r="B28" s="612"/>
      <c r="C28" s="613" t="s">
        <v>456</v>
      </c>
      <c r="D28" s="614"/>
      <c r="E28" s="614"/>
      <c r="F28" s="163"/>
    </row>
    <row r="30" spans="1:11" ht="13.8" thickBot="1" x14ac:dyDescent="0.3"/>
    <row r="31" spans="1:11" ht="15.6" x14ac:dyDescent="0.3">
      <c r="A31" s="95"/>
      <c r="B31" s="379" t="s">
        <v>108</v>
      </c>
      <c r="C31" s="156"/>
      <c r="D31" s="157"/>
      <c r="E31" s="199" t="s">
        <v>109</v>
      </c>
      <c r="F31" s="158"/>
    </row>
    <row r="32" spans="1:11" ht="3" customHeight="1" x14ac:dyDescent="0.3">
      <c r="B32" s="108"/>
      <c r="C32" s="96" t="s">
        <v>61</v>
      </c>
      <c r="D32" s="107"/>
      <c r="E32" s="107"/>
      <c r="F32" s="109">
        <f>'project 2016'!F23</f>
        <v>598.16999999999985</v>
      </c>
    </row>
    <row r="33" spans="2:11" ht="15.6" hidden="1" x14ac:dyDescent="0.3">
      <c r="B33" s="121"/>
      <c r="C33" s="122" t="s">
        <v>81</v>
      </c>
      <c r="D33" s="123"/>
      <c r="E33" s="123"/>
      <c r="F33" s="124">
        <v>0</v>
      </c>
    </row>
    <row r="34" spans="2:11" ht="17.399999999999999" hidden="1" x14ac:dyDescent="0.3">
      <c r="B34" s="378">
        <f>B11</f>
        <v>42735</v>
      </c>
      <c r="C34" s="228" t="str">
        <f>C11</f>
        <v>Saldo</v>
      </c>
      <c r="D34" s="168"/>
      <c r="E34" s="168"/>
      <c r="F34" s="172">
        <f>'project 2016'!F23</f>
        <v>598.16999999999985</v>
      </c>
      <c r="G34" s="502"/>
    </row>
    <row r="35" spans="2:11" ht="16.2" hidden="1" thickBot="1" x14ac:dyDescent="0.35">
      <c r="B35" s="125"/>
      <c r="C35" s="126"/>
      <c r="D35" s="127"/>
      <c r="E35" s="127"/>
      <c r="F35" s="128"/>
    </row>
    <row r="36" spans="2:11" ht="17.399999999999999" x14ac:dyDescent="0.3">
      <c r="B36" s="378"/>
      <c r="C36" s="228" t="s">
        <v>296</v>
      </c>
      <c r="D36" s="168"/>
      <c r="E36" s="168"/>
      <c r="F36" s="172"/>
    </row>
    <row r="37" spans="2:11" ht="15.6" x14ac:dyDescent="0.3">
      <c r="B37" s="507">
        <v>43100</v>
      </c>
      <c r="C37" s="508" t="s">
        <v>84</v>
      </c>
      <c r="D37" s="508"/>
      <c r="E37" s="508"/>
      <c r="F37" s="104">
        <v>598.16999999999996</v>
      </c>
      <c r="G37" s="501"/>
      <c r="H37">
        <v>598.16999999999996</v>
      </c>
    </row>
    <row r="38" spans="2:11" ht="15.6" x14ac:dyDescent="0.3">
      <c r="B38" s="377"/>
      <c r="C38" s="415" t="s">
        <v>362</v>
      </c>
      <c r="D38" s="415"/>
      <c r="E38" s="415"/>
      <c r="F38" s="172"/>
      <c r="G38" s="501"/>
    </row>
    <row r="39" spans="2:11" ht="15.6" x14ac:dyDescent="0.3">
      <c r="B39" s="377">
        <v>43442</v>
      </c>
      <c r="C39" s="415" t="s">
        <v>403</v>
      </c>
      <c r="D39" s="415"/>
      <c r="E39" s="415"/>
      <c r="F39" s="172">
        <f>-598.17</f>
        <v>-598.16999999999996</v>
      </c>
      <c r="G39" s="501"/>
      <c r="H39" s="7" t="s">
        <v>457</v>
      </c>
    </row>
    <row r="40" spans="2:11" ht="15.6" x14ac:dyDescent="0.3">
      <c r="B40" s="377"/>
      <c r="C40" s="415"/>
      <c r="D40" s="415"/>
      <c r="E40" s="415"/>
      <c r="F40" s="172"/>
      <c r="G40" s="501"/>
    </row>
    <row r="41" spans="2:11" ht="15.6" x14ac:dyDescent="0.3">
      <c r="B41" s="377"/>
      <c r="C41" s="415" t="s">
        <v>364</v>
      </c>
      <c r="D41" s="415"/>
      <c r="E41" s="415"/>
      <c r="F41" s="172">
        <f>SUM(F38:F40)</f>
        <v>-598.16999999999996</v>
      </c>
      <c r="G41" s="501"/>
      <c r="H41" s="226" t="s">
        <v>393</v>
      </c>
      <c r="I41" s="168"/>
      <c r="J41" s="168"/>
      <c r="K41" s="168"/>
    </row>
    <row r="42" spans="2:11" ht="15.6" x14ac:dyDescent="0.3">
      <c r="B42" s="377"/>
      <c r="C42" s="415" t="s">
        <v>363</v>
      </c>
      <c r="D42" s="415"/>
      <c r="E42" s="415"/>
      <c r="F42" s="172"/>
      <c r="G42" s="501"/>
      <c r="H42" s="226"/>
      <c r="I42" s="168"/>
      <c r="J42" s="168"/>
      <c r="K42" s="168"/>
    </row>
    <row r="43" spans="2:11" ht="15.6" x14ac:dyDescent="0.3">
      <c r="B43" s="377"/>
      <c r="C43" s="415" t="s">
        <v>365</v>
      </c>
      <c r="D43" s="415"/>
      <c r="E43" s="415"/>
      <c r="F43" s="172">
        <f>SUM(F42:F42)</f>
        <v>0</v>
      </c>
      <c r="G43" s="501"/>
    </row>
    <row r="44" spans="2:11" ht="15.6" x14ac:dyDescent="0.3">
      <c r="B44" s="507">
        <v>43465</v>
      </c>
      <c r="C44" s="508" t="s">
        <v>2</v>
      </c>
      <c r="D44" s="508"/>
      <c r="E44" s="508"/>
      <c r="F44" s="104">
        <f>F37+F41+F43</f>
        <v>0</v>
      </c>
      <c r="G44" s="501"/>
    </row>
    <row r="45" spans="2:11" ht="15.6" x14ac:dyDescent="0.3">
      <c r="B45" s="507"/>
      <c r="C45" s="508"/>
      <c r="D45" s="508"/>
      <c r="E45" s="508"/>
      <c r="F45" s="104"/>
      <c r="G45" s="501"/>
    </row>
    <row r="46" spans="2:11" ht="16.2" thickBot="1" x14ac:dyDescent="0.35">
      <c r="B46" s="161"/>
      <c r="C46" s="585" t="s">
        <v>421</v>
      </c>
      <c r="D46" s="586"/>
      <c r="E46" s="162"/>
      <c r="F46" s="163"/>
      <c r="G46" s="501"/>
    </row>
    <row r="47" spans="2:11" ht="15.6" x14ac:dyDescent="0.3">
      <c r="B47" s="9"/>
      <c r="C47" s="8"/>
      <c r="F47" s="10"/>
    </row>
    <row r="48" spans="2:11" ht="16.2" thickBot="1" x14ac:dyDescent="0.35">
      <c r="B48" s="9"/>
      <c r="C48" s="8"/>
      <c r="F48" s="10"/>
    </row>
    <row r="49" spans="1:10" ht="15.6" x14ac:dyDescent="0.3">
      <c r="A49" s="95"/>
      <c r="B49" s="223" t="s">
        <v>0</v>
      </c>
      <c r="C49" s="376"/>
      <c r="D49" s="376"/>
      <c r="E49" s="198" t="s">
        <v>111</v>
      </c>
      <c r="F49" s="153"/>
    </row>
    <row r="50" spans="1:10" ht="3" customHeight="1" x14ac:dyDescent="0.3">
      <c r="B50" s="111"/>
      <c r="C50" s="96" t="s">
        <v>61</v>
      </c>
      <c r="D50" s="96"/>
      <c r="E50" s="96"/>
      <c r="F50" s="104">
        <f>'project 2016'!F31</f>
        <v>408.81000000000023</v>
      </c>
      <c r="J50">
        <v>7537.8399999999983</v>
      </c>
    </row>
    <row r="51" spans="1:10" ht="15.6" hidden="1" x14ac:dyDescent="0.3">
      <c r="B51" s="121"/>
      <c r="C51" s="122" t="s">
        <v>81</v>
      </c>
      <c r="D51" s="123"/>
      <c r="E51" s="123"/>
      <c r="F51" s="124"/>
      <c r="J51">
        <v>0</v>
      </c>
    </row>
    <row r="52" spans="1:10" ht="15.6" hidden="1" x14ac:dyDescent="0.3">
      <c r="B52" s="121">
        <v>42696</v>
      </c>
      <c r="C52" s="122" t="s">
        <v>144</v>
      </c>
      <c r="D52" s="123"/>
      <c r="E52" s="123"/>
      <c r="F52" s="124">
        <v>-293.68</v>
      </c>
      <c r="J52">
        <v>48.66</v>
      </c>
    </row>
    <row r="53" spans="1:10" ht="15.6" hidden="1" x14ac:dyDescent="0.3">
      <c r="B53" s="121">
        <v>42697</v>
      </c>
      <c r="C53" s="122" t="s">
        <v>145</v>
      </c>
      <c r="D53" s="123"/>
      <c r="E53" s="123"/>
      <c r="F53" s="124">
        <v>-114.5</v>
      </c>
      <c r="J53">
        <v>0</v>
      </c>
    </row>
    <row r="54" spans="1:10" ht="17.399999999999999" hidden="1" x14ac:dyDescent="0.3">
      <c r="B54" s="378">
        <f>B34</f>
        <v>42735</v>
      </c>
      <c r="C54" s="228" t="str">
        <f>C34</f>
        <v>Saldo</v>
      </c>
      <c r="D54" s="168"/>
      <c r="E54" s="168"/>
      <c r="F54" s="172">
        <f>'project 2016'!F35</f>
        <v>0.63000000000022283</v>
      </c>
      <c r="G54" s="7"/>
    </row>
    <row r="55" spans="1:10" ht="17.399999999999999" hidden="1" x14ac:dyDescent="0.3">
      <c r="B55" s="378">
        <v>42787</v>
      </c>
      <c r="C55" s="228" t="s">
        <v>234</v>
      </c>
      <c r="D55" s="168"/>
      <c r="E55" s="168"/>
      <c r="F55" s="172">
        <f>-0.63</f>
        <v>-0.63</v>
      </c>
      <c r="G55" s="107"/>
      <c r="H55" t="s">
        <v>337</v>
      </c>
      <c r="J55">
        <v>926</v>
      </c>
    </row>
    <row r="56" spans="1:10" ht="17.399999999999999" x14ac:dyDescent="0.3">
      <c r="B56" s="378">
        <v>42787</v>
      </c>
      <c r="C56" s="228" t="s">
        <v>235</v>
      </c>
      <c r="D56" s="168"/>
      <c r="E56" s="168"/>
      <c r="F56" s="172">
        <f>F54+F55</f>
        <v>2.2282176104226892E-13</v>
      </c>
      <c r="G56" s="173"/>
    </row>
    <row r="57" spans="1:10" ht="16.2" thickBot="1" x14ac:dyDescent="0.35">
      <c r="B57" s="125"/>
      <c r="C57" s="585" t="s">
        <v>420</v>
      </c>
      <c r="D57" s="586"/>
      <c r="E57" s="127"/>
      <c r="F57" s="128"/>
    </row>
    <row r="58" spans="1:10" ht="15.6" x14ac:dyDescent="0.3">
      <c r="B58" s="13"/>
      <c r="C58" s="8"/>
      <c r="D58" s="8"/>
      <c r="E58" s="8"/>
      <c r="F58" s="8"/>
    </row>
    <row r="59" spans="1:10" ht="15.6" thickBot="1" x14ac:dyDescent="0.3">
      <c r="B59" s="13"/>
      <c r="C59" s="12"/>
      <c r="D59" s="12"/>
      <c r="E59" s="12"/>
      <c r="F59" s="14"/>
    </row>
    <row r="60" spans="1:10" ht="15.6" x14ac:dyDescent="0.3">
      <c r="A60" s="95"/>
      <c r="B60" s="382" t="s">
        <v>39</v>
      </c>
      <c r="C60" s="156"/>
      <c r="D60" s="156"/>
      <c r="E60" s="199" t="s">
        <v>112</v>
      </c>
      <c r="F60" s="383"/>
    </row>
    <row r="61" spans="1:10" ht="4.5" customHeight="1" x14ac:dyDescent="0.3">
      <c r="B61" s="151"/>
      <c r="C61" s="96" t="s">
        <v>60</v>
      </c>
      <c r="D61" s="96"/>
      <c r="E61" s="96"/>
      <c r="F61" s="152">
        <f>'project 2016'!F50</f>
        <v>218.9500000000001</v>
      </c>
    </row>
    <row r="62" spans="1:10" ht="15.6" hidden="1" x14ac:dyDescent="0.3">
      <c r="B62" s="384" t="s">
        <v>81</v>
      </c>
      <c r="C62" s="154"/>
      <c r="D62" s="154"/>
      <c r="E62" s="154"/>
      <c r="F62" s="175"/>
    </row>
    <row r="63" spans="1:10" ht="15.6" hidden="1" x14ac:dyDescent="0.3">
      <c r="B63" s="384"/>
      <c r="C63" s="154" t="s">
        <v>59</v>
      </c>
      <c r="D63" s="154"/>
      <c r="E63" s="154"/>
      <c r="F63" s="175">
        <f>'fin overz 31 dec 2016'!J19</f>
        <v>7.78</v>
      </c>
    </row>
    <row r="64" spans="1:10" ht="15" hidden="1" x14ac:dyDescent="0.25">
      <c r="B64" s="135">
        <v>42376</v>
      </c>
      <c r="C64" s="208" t="s">
        <v>67</v>
      </c>
      <c r="D64" s="136"/>
      <c r="E64" s="136"/>
      <c r="F64" s="137">
        <v>-10.35</v>
      </c>
    </row>
    <row r="65" spans="2:8" ht="15" hidden="1" x14ac:dyDescent="0.25">
      <c r="B65" s="135">
        <v>42403</v>
      </c>
      <c r="C65" s="136" t="s">
        <v>67</v>
      </c>
      <c r="D65" s="136"/>
      <c r="E65" s="136"/>
      <c r="F65" s="137">
        <v>-10.65</v>
      </c>
    </row>
    <row r="66" spans="2:8" ht="15" hidden="1" x14ac:dyDescent="0.25">
      <c r="B66" s="135">
        <v>42432</v>
      </c>
      <c r="C66" s="136" t="s">
        <v>67</v>
      </c>
      <c r="D66" s="136"/>
      <c r="E66" s="136"/>
      <c r="F66" s="137">
        <v>-10.65</v>
      </c>
    </row>
    <row r="67" spans="2:8" ht="15" hidden="1" x14ac:dyDescent="0.25">
      <c r="B67" s="135"/>
      <c r="C67" s="208" t="s">
        <v>59</v>
      </c>
      <c r="D67" s="136"/>
      <c r="E67" s="136"/>
      <c r="F67" s="137"/>
    </row>
    <row r="68" spans="2:8" ht="15" hidden="1" x14ac:dyDescent="0.25">
      <c r="B68" s="135">
        <v>42465</v>
      </c>
      <c r="C68" s="136" t="s">
        <v>67</v>
      </c>
      <c r="D68" s="136"/>
      <c r="E68" s="136"/>
      <c r="F68" s="137">
        <v>-10.65</v>
      </c>
    </row>
    <row r="69" spans="2:8" ht="15" hidden="1" x14ac:dyDescent="0.25">
      <c r="B69" s="135">
        <v>42494</v>
      </c>
      <c r="C69" s="136" t="s">
        <v>67</v>
      </c>
      <c r="D69" s="136"/>
      <c r="E69" s="136"/>
      <c r="F69" s="137">
        <v>-10.65</v>
      </c>
    </row>
    <row r="70" spans="2:8" ht="15" hidden="1" x14ac:dyDescent="0.25">
      <c r="B70" s="135">
        <v>42524</v>
      </c>
      <c r="C70" s="136" t="s">
        <v>67</v>
      </c>
      <c r="D70" s="136"/>
      <c r="E70" s="136"/>
      <c r="F70" s="137">
        <v>-10.65</v>
      </c>
    </row>
    <row r="71" spans="2:8" ht="15" hidden="1" x14ac:dyDescent="0.25">
      <c r="B71" s="135">
        <v>42556</v>
      </c>
      <c r="C71" s="136" t="s">
        <v>67</v>
      </c>
      <c r="D71" s="136"/>
      <c r="E71" s="136"/>
      <c r="F71" s="137">
        <v>-10.65</v>
      </c>
    </row>
    <row r="72" spans="2:8" ht="2.25" hidden="1" customHeight="1" x14ac:dyDescent="0.25">
      <c r="B72" s="135">
        <v>42585</v>
      </c>
      <c r="C72" s="136" t="s">
        <v>67</v>
      </c>
      <c r="D72" s="136"/>
      <c r="E72" s="136"/>
      <c r="F72" s="137">
        <v>-10.65</v>
      </c>
    </row>
    <row r="73" spans="2:8" ht="15" hidden="1" x14ac:dyDescent="0.25">
      <c r="B73" s="207">
        <v>42616</v>
      </c>
      <c r="C73" s="208" t="s">
        <v>67</v>
      </c>
      <c r="D73" s="136"/>
      <c r="E73" s="136"/>
      <c r="F73" s="137">
        <v>-10.65</v>
      </c>
    </row>
    <row r="74" spans="2:8" ht="15" hidden="1" x14ac:dyDescent="0.25">
      <c r="B74" s="207">
        <v>42648</v>
      </c>
      <c r="C74" s="208" t="s">
        <v>67</v>
      </c>
      <c r="D74" s="136"/>
      <c r="E74" s="136"/>
      <c r="F74" s="137">
        <v>-11.21</v>
      </c>
    </row>
    <row r="75" spans="2:8" ht="15" hidden="1" x14ac:dyDescent="0.25">
      <c r="B75" s="207">
        <v>42678</v>
      </c>
      <c r="C75" s="208" t="s">
        <v>67</v>
      </c>
      <c r="D75" s="136"/>
      <c r="E75" s="136"/>
      <c r="F75" s="137">
        <v>-10.09</v>
      </c>
    </row>
    <row r="76" spans="2:8" ht="13.5" hidden="1" customHeight="1" x14ac:dyDescent="0.25">
      <c r="B76" s="207">
        <v>42707</v>
      </c>
      <c r="C76" s="208" t="s">
        <v>67</v>
      </c>
      <c r="D76" s="136"/>
      <c r="E76" s="136"/>
      <c r="F76" s="137">
        <v>-10.65</v>
      </c>
    </row>
    <row r="77" spans="2:8" ht="15" hidden="1" x14ac:dyDescent="0.25">
      <c r="B77" s="135"/>
      <c r="C77" s="208" t="s">
        <v>139</v>
      </c>
      <c r="D77" s="136"/>
      <c r="E77" s="136"/>
      <c r="F77" s="137">
        <f>SUM(F64:F76)</f>
        <v>-127.50000000000003</v>
      </c>
    </row>
    <row r="78" spans="2:8" ht="15.6" hidden="1" x14ac:dyDescent="0.3">
      <c r="B78" s="151">
        <f>B54</f>
        <v>42735</v>
      </c>
      <c r="C78" s="114" t="str">
        <f>C54</f>
        <v>Saldo</v>
      </c>
      <c r="D78" s="96"/>
      <c r="E78" s="96"/>
      <c r="F78" s="152">
        <f>'project 2016'!F67</f>
        <v>99.230000000000075</v>
      </c>
    </row>
    <row r="79" spans="2:8" ht="15.6" hidden="1" x14ac:dyDescent="0.3">
      <c r="B79" s="384" t="s">
        <v>100</v>
      </c>
      <c r="C79" s="374"/>
      <c r="D79" s="154"/>
      <c r="E79" s="154"/>
      <c r="F79" s="175"/>
    </row>
    <row r="80" spans="2:8" ht="15.6" hidden="1" x14ac:dyDescent="0.3">
      <c r="B80" s="384">
        <v>42787</v>
      </c>
      <c r="C80" s="374" t="s">
        <v>232</v>
      </c>
      <c r="D80" s="154"/>
      <c r="E80" s="154"/>
      <c r="F80" s="175">
        <f>-F132</f>
        <v>200</v>
      </c>
      <c r="H80" t="s">
        <v>335</v>
      </c>
    </row>
    <row r="81" spans="2:10" ht="15.6" hidden="1" x14ac:dyDescent="0.3">
      <c r="B81" s="384">
        <v>42787</v>
      </c>
      <c r="C81" s="374" t="s">
        <v>236</v>
      </c>
      <c r="D81" s="154"/>
      <c r="E81" s="154"/>
      <c r="F81" s="175">
        <f>-F55</f>
        <v>0.63</v>
      </c>
      <c r="H81" t="s">
        <v>335</v>
      </c>
    </row>
    <row r="82" spans="2:10" ht="9" hidden="1" customHeight="1" x14ac:dyDescent="0.3">
      <c r="B82" s="384">
        <v>42787</v>
      </c>
      <c r="C82" s="374" t="s">
        <v>237</v>
      </c>
      <c r="D82" s="154"/>
      <c r="E82" s="154"/>
      <c r="F82" s="175">
        <f>F190</f>
        <v>13.29</v>
      </c>
      <c r="H82" t="s">
        <v>338</v>
      </c>
    </row>
    <row r="83" spans="2:10" ht="15.6" hidden="1" x14ac:dyDescent="0.3">
      <c r="B83" s="387" t="s">
        <v>242</v>
      </c>
      <c r="C83" s="228"/>
      <c r="D83" s="170"/>
      <c r="E83" s="170"/>
      <c r="F83" s="210">
        <f>SUM(F80:F82)</f>
        <v>213.92</v>
      </c>
    </row>
    <row r="84" spans="2:10" ht="15.6" hidden="1" x14ac:dyDescent="0.3">
      <c r="B84" s="384" t="s">
        <v>176</v>
      </c>
      <c r="C84" s="374"/>
      <c r="D84" s="154"/>
      <c r="E84" s="154"/>
      <c r="F84" s="175"/>
    </row>
    <row r="85" spans="2:10" ht="15.6" hidden="1" x14ac:dyDescent="0.3">
      <c r="B85" s="384">
        <v>42739</v>
      </c>
      <c r="C85" s="374" t="s">
        <v>67</v>
      </c>
      <c r="D85" s="154"/>
      <c r="E85" s="154"/>
      <c r="F85" s="175">
        <v>-10.65</v>
      </c>
      <c r="G85" s="95"/>
      <c r="H85" t="s">
        <v>330</v>
      </c>
    </row>
    <row r="86" spans="2:10" ht="10.5" hidden="1" customHeight="1" x14ac:dyDescent="0.3">
      <c r="B86" s="384">
        <v>43134</v>
      </c>
      <c r="C86" s="374" t="s">
        <v>67</v>
      </c>
      <c r="D86" s="154"/>
      <c r="E86" s="154"/>
      <c r="F86" s="175">
        <v>-10.9</v>
      </c>
      <c r="G86" s="95"/>
      <c r="H86" t="s">
        <v>330</v>
      </c>
      <c r="I86" s="506" t="s">
        <v>348</v>
      </c>
      <c r="J86" s="506"/>
    </row>
    <row r="87" spans="2:10" ht="15.6" hidden="1" x14ac:dyDescent="0.3">
      <c r="B87" s="384">
        <v>42787</v>
      </c>
      <c r="C87" s="374" t="s">
        <v>241</v>
      </c>
      <c r="D87" s="154"/>
      <c r="E87" s="154"/>
      <c r="F87" s="175">
        <f>-F269</f>
        <v>-9.9999999999909051E-3</v>
      </c>
      <c r="G87" s="95"/>
      <c r="H87" t="s">
        <v>335</v>
      </c>
    </row>
    <row r="88" spans="2:10" ht="15.6" hidden="1" x14ac:dyDescent="0.3">
      <c r="B88" s="384">
        <v>42798</v>
      </c>
      <c r="C88" s="374" t="s">
        <v>67</v>
      </c>
      <c r="D88" s="154"/>
      <c r="E88" s="154"/>
      <c r="F88" s="175">
        <v>-17.8</v>
      </c>
      <c r="G88" s="95"/>
      <c r="H88" t="s">
        <v>330</v>
      </c>
    </row>
    <row r="89" spans="2:10" ht="15.6" hidden="1" x14ac:dyDescent="0.3">
      <c r="B89" s="384">
        <v>42829</v>
      </c>
      <c r="C89" s="374" t="s">
        <v>67</v>
      </c>
      <c r="D89" s="154"/>
      <c r="E89" s="154"/>
      <c r="F89" s="175">
        <v>-4</v>
      </c>
      <c r="G89" s="95"/>
      <c r="H89" t="s">
        <v>330</v>
      </c>
    </row>
    <row r="90" spans="2:10" ht="15.6" hidden="1" x14ac:dyDescent="0.3">
      <c r="B90" s="384">
        <v>42859</v>
      </c>
      <c r="C90" s="374" t="s">
        <v>67</v>
      </c>
      <c r="D90" s="154"/>
      <c r="E90" s="154"/>
      <c r="F90" s="175">
        <v>-10.9</v>
      </c>
      <c r="G90" s="95"/>
      <c r="H90" t="s">
        <v>330</v>
      </c>
    </row>
    <row r="91" spans="2:10" ht="15.6" hidden="1" x14ac:dyDescent="0.3">
      <c r="B91" s="384">
        <v>42874</v>
      </c>
      <c r="C91" s="374" t="s">
        <v>252</v>
      </c>
      <c r="D91" s="154"/>
      <c r="E91" s="154"/>
      <c r="F91" s="175">
        <v>-25.9</v>
      </c>
      <c r="G91" s="95"/>
      <c r="H91" t="s">
        <v>341</v>
      </c>
    </row>
    <row r="92" spans="2:10" ht="15.6" hidden="1" x14ac:dyDescent="0.3">
      <c r="B92" s="384">
        <v>42890</v>
      </c>
      <c r="C92" s="374" t="s">
        <v>67</v>
      </c>
      <c r="D92" s="154"/>
      <c r="E92" s="154"/>
      <c r="F92" s="175">
        <v>-11.38</v>
      </c>
      <c r="G92" s="95"/>
      <c r="H92" t="s">
        <v>330</v>
      </c>
    </row>
    <row r="93" spans="2:10" ht="15.6" hidden="1" x14ac:dyDescent="0.3">
      <c r="B93" s="384">
        <v>42922</v>
      </c>
      <c r="C93" s="374" t="s">
        <v>67</v>
      </c>
      <c r="D93" s="154"/>
      <c r="E93" s="154"/>
      <c r="F93" s="175">
        <v>-10.42</v>
      </c>
      <c r="G93" s="95"/>
      <c r="H93" t="s">
        <v>330</v>
      </c>
    </row>
    <row r="94" spans="2:10" ht="15.6" hidden="1" x14ac:dyDescent="0.3">
      <c r="B94" s="384">
        <v>42951</v>
      </c>
      <c r="C94" s="374" t="s">
        <v>67</v>
      </c>
      <c r="D94" s="154"/>
      <c r="E94" s="154"/>
      <c r="F94" s="175">
        <v>-10.9</v>
      </c>
      <c r="G94" s="95"/>
      <c r="H94" t="s">
        <v>330</v>
      </c>
    </row>
    <row r="95" spans="2:10" ht="15.6" hidden="1" x14ac:dyDescent="0.3">
      <c r="B95" s="384">
        <v>42970</v>
      </c>
      <c r="C95" s="374" t="s">
        <v>257</v>
      </c>
      <c r="D95" s="154"/>
      <c r="E95" s="154"/>
      <c r="F95" s="175">
        <v>-23.37</v>
      </c>
      <c r="G95" s="95"/>
      <c r="H95" t="s">
        <v>330</v>
      </c>
    </row>
    <row r="96" spans="2:10" ht="15.6" hidden="1" x14ac:dyDescent="0.3">
      <c r="B96" s="384">
        <v>42983</v>
      </c>
      <c r="C96" s="374" t="s">
        <v>67</v>
      </c>
      <c r="D96" s="154"/>
      <c r="E96" s="154"/>
      <c r="F96" s="175">
        <v>-10.9</v>
      </c>
      <c r="G96" s="95"/>
      <c r="H96" t="s">
        <v>330</v>
      </c>
    </row>
    <row r="97" spans="2:8" ht="15.6" hidden="1" x14ac:dyDescent="0.3">
      <c r="B97" s="384">
        <v>43013</v>
      </c>
      <c r="C97" s="374" t="s">
        <v>67</v>
      </c>
      <c r="D97" s="154"/>
      <c r="E97" s="154"/>
      <c r="F97" s="175">
        <v>-10.9</v>
      </c>
      <c r="G97" s="95"/>
      <c r="H97" t="s">
        <v>330</v>
      </c>
    </row>
    <row r="98" spans="2:8" ht="15.6" hidden="1" x14ac:dyDescent="0.3">
      <c r="B98" s="384">
        <v>43042</v>
      </c>
      <c r="C98" s="374" t="s">
        <v>67</v>
      </c>
      <c r="D98" s="154"/>
      <c r="E98" s="154"/>
      <c r="F98" s="175">
        <v>-10.9</v>
      </c>
      <c r="G98" s="95"/>
      <c r="H98" t="s">
        <v>330</v>
      </c>
    </row>
    <row r="99" spans="2:8" ht="15.6" hidden="1" x14ac:dyDescent="0.3">
      <c r="B99" s="384">
        <v>43073</v>
      </c>
      <c r="C99" s="374" t="s">
        <v>67</v>
      </c>
      <c r="D99" s="154"/>
      <c r="E99" s="154"/>
      <c r="F99" s="175">
        <v>-10.9</v>
      </c>
      <c r="G99" s="95"/>
      <c r="H99" t="s">
        <v>330</v>
      </c>
    </row>
    <row r="100" spans="2:8" ht="15.6" hidden="1" x14ac:dyDescent="0.3">
      <c r="B100" s="384"/>
      <c r="C100" s="374"/>
      <c r="D100" s="154"/>
      <c r="E100" s="154"/>
      <c r="F100" s="175"/>
    </row>
    <row r="101" spans="2:8" ht="15.6" hidden="1" x14ac:dyDescent="0.3">
      <c r="B101" s="387" t="s">
        <v>139</v>
      </c>
      <c r="C101" s="228"/>
      <c r="D101" s="170"/>
      <c r="E101" s="170"/>
      <c r="F101" s="210">
        <f>SUM(F85:F100)</f>
        <v>-179.83</v>
      </c>
    </row>
    <row r="102" spans="2:8" ht="15.6" hidden="1" x14ac:dyDescent="0.3">
      <c r="B102" s="416"/>
      <c r="C102" s="417"/>
      <c r="D102" s="8"/>
      <c r="E102" s="8"/>
      <c r="F102" s="418"/>
    </row>
    <row r="103" spans="2:8" ht="16.2" thickBot="1" x14ac:dyDescent="0.35">
      <c r="B103" s="98">
        <v>43100</v>
      </c>
      <c r="C103" s="92" t="s">
        <v>2</v>
      </c>
      <c r="D103" s="92"/>
      <c r="E103" s="509"/>
      <c r="F103" s="99">
        <v>133.32</v>
      </c>
      <c r="H103" s="587">
        <f>F83+F101+F78</f>
        <v>133.32000000000005</v>
      </c>
    </row>
    <row r="104" spans="2:8" ht="15.6" x14ac:dyDescent="0.3">
      <c r="B104" s="377"/>
      <c r="C104" s="415" t="s">
        <v>362</v>
      </c>
      <c r="D104" s="415"/>
      <c r="E104" s="415"/>
      <c r="F104" s="172"/>
      <c r="H104" s="501"/>
    </row>
    <row r="105" spans="2:8" ht="15.6" x14ac:dyDescent="0.3">
      <c r="B105" s="377">
        <v>43104</v>
      </c>
      <c r="C105" s="415" t="s">
        <v>67</v>
      </c>
      <c r="D105" s="415"/>
      <c r="E105" s="415"/>
      <c r="F105" s="172">
        <v>-10.9</v>
      </c>
      <c r="H105" s="502" t="s">
        <v>376</v>
      </c>
    </row>
    <row r="106" spans="2:8" ht="15.6" x14ac:dyDescent="0.3">
      <c r="B106" s="377">
        <v>43135</v>
      </c>
      <c r="C106" s="415" t="s">
        <v>67</v>
      </c>
      <c r="D106" s="415"/>
      <c r="E106" s="415"/>
      <c r="F106" s="172">
        <v>-9.9499999999999993</v>
      </c>
      <c r="H106" s="502" t="s">
        <v>376</v>
      </c>
    </row>
    <row r="107" spans="2:8" ht="15.6" x14ac:dyDescent="0.3">
      <c r="B107" s="377">
        <v>43161</v>
      </c>
      <c r="C107" s="415" t="s">
        <v>67</v>
      </c>
      <c r="D107" s="415"/>
      <c r="E107" s="415"/>
      <c r="F107" s="172">
        <v>-9.9499999999999993</v>
      </c>
      <c r="H107" s="502" t="s">
        <v>376</v>
      </c>
    </row>
    <row r="108" spans="2:8" ht="15.6" x14ac:dyDescent="0.3">
      <c r="B108" s="377">
        <v>43195</v>
      </c>
      <c r="C108" s="415" t="s">
        <v>67</v>
      </c>
      <c r="D108" s="415"/>
      <c r="E108" s="415"/>
      <c r="F108" s="172">
        <v>-9.9499999999999993</v>
      </c>
      <c r="H108" s="501" t="s">
        <v>380</v>
      </c>
    </row>
    <row r="109" spans="2:8" ht="15.6" x14ac:dyDescent="0.3">
      <c r="B109" s="377">
        <v>43224</v>
      </c>
      <c r="C109" s="415" t="s">
        <v>67</v>
      </c>
      <c r="D109" s="415"/>
      <c r="E109" s="415"/>
      <c r="F109" s="172">
        <v>-9.94</v>
      </c>
      <c r="H109" s="501" t="s">
        <v>376</v>
      </c>
    </row>
    <row r="110" spans="2:8" ht="15.6" x14ac:dyDescent="0.3">
      <c r="B110" s="377">
        <v>43256</v>
      </c>
      <c r="C110" s="415" t="s">
        <v>67</v>
      </c>
      <c r="D110" s="415"/>
      <c r="E110" s="415"/>
      <c r="F110" s="172">
        <v>-9.9499999999999993</v>
      </c>
      <c r="H110" s="501" t="s">
        <v>376</v>
      </c>
    </row>
    <row r="111" spans="2:8" ht="15.6" x14ac:dyDescent="0.3">
      <c r="B111" s="377">
        <v>43285</v>
      </c>
      <c r="C111" s="415" t="s">
        <v>67</v>
      </c>
      <c r="D111" s="415"/>
      <c r="E111" s="415"/>
      <c r="F111" s="172">
        <v>-9.94</v>
      </c>
      <c r="H111" s="501" t="s">
        <v>376</v>
      </c>
    </row>
    <row r="112" spans="2:8" ht="15.6" x14ac:dyDescent="0.3">
      <c r="B112" s="377">
        <v>43316</v>
      </c>
      <c r="C112" s="415" t="s">
        <v>67</v>
      </c>
      <c r="D112" s="415"/>
      <c r="E112" s="415"/>
      <c r="F112" s="172">
        <v>-9.9499999999999993</v>
      </c>
      <c r="H112" s="501" t="s">
        <v>376</v>
      </c>
    </row>
    <row r="113" spans="1:13" ht="15.6" x14ac:dyDescent="0.3">
      <c r="B113" s="377">
        <v>43347</v>
      </c>
      <c r="C113" s="415" t="s">
        <v>67</v>
      </c>
      <c r="D113" s="415"/>
      <c r="E113" s="415"/>
      <c r="F113" s="172">
        <v>-9.9499999999999993</v>
      </c>
      <c r="H113" s="501" t="s">
        <v>376</v>
      </c>
    </row>
    <row r="114" spans="1:13" ht="15.6" x14ac:dyDescent="0.3">
      <c r="B114" s="377">
        <v>43375</v>
      </c>
      <c r="C114" s="415" t="s">
        <v>67</v>
      </c>
      <c r="D114" s="415"/>
      <c r="E114" s="415"/>
      <c r="F114" s="172">
        <v>-9.9499999999999993</v>
      </c>
      <c r="H114" s="501" t="s">
        <v>376</v>
      </c>
    </row>
    <row r="115" spans="1:13" ht="15.6" x14ac:dyDescent="0.3">
      <c r="B115" s="377">
        <v>43407</v>
      </c>
      <c r="C115" s="415" t="s">
        <v>67</v>
      </c>
      <c r="D115" s="415"/>
      <c r="E115" s="415"/>
      <c r="F115" s="172">
        <v>-9.9499999999999993</v>
      </c>
      <c r="H115" s="501" t="s">
        <v>376</v>
      </c>
    </row>
    <row r="116" spans="1:13" ht="15.6" x14ac:dyDescent="0.3">
      <c r="B116" s="377">
        <v>43438</v>
      </c>
      <c r="C116" s="415" t="s">
        <v>67</v>
      </c>
      <c r="D116" s="415"/>
      <c r="E116" s="415"/>
      <c r="F116" s="172">
        <v>-9.94</v>
      </c>
      <c r="H116" s="501" t="s">
        <v>376</v>
      </c>
    </row>
    <row r="117" spans="1:13" ht="15.6" x14ac:dyDescent="0.3">
      <c r="B117" s="377"/>
      <c r="C117" s="415"/>
      <c r="D117" s="415"/>
      <c r="E117" s="415"/>
      <c r="F117" s="172"/>
      <c r="H117" s="501"/>
    </row>
    <row r="118" spans="1:13" ht="15.6" x14ac:dyDescent="0.3">
      <c r="B118" s="377"/>
      <c r="C118" s="415" t="s">
        <v>364</v>
      </c>
      <c r="D118" s="415"/>
      <c r="E118" s="415"/>
      <c r="F118" s="172">
        <f>SUM(F104:F116)</f>
        <v>-120.32000000000001</v>
      </c>
      <c r="H118" s="501"/>
    </row>
    <row r="119" spans="1:13" ht="15.6" x14ac:dyDescent="0.3">
      <c r="B119" s="377"/>
      <c r="C119" s="415" t="s">
        <v>363</v>
      </c>
      <c r="D119" s="415"/>
      <c r="E119" s="415"/>
      <c r="F119" s="172"/>
      <c r="H119" s="501"/>
    </row>
    <row r="120" spans="1:13" ht="15.6" x14ac:dyDescent="0.3">
      <c r="B120" s="377">
        <v>43364</v>
      </c>
      <c r="C120" s="415" t="s">
        <v>396</v>
      </c>
      <c r="D120" s="415"/>
      <c r="E120" s="415"/>
      <c r="F120" s="172">
        <v>0.97</v>
      </c>
      <c r="H120" s="502" t="s">
        <v>376</v>
      </c>
    </row>
    <row r="121" spans="1:13" ht="15.6" x14ac:dyDescent="0.3">
      <c r="B121" s="377">
        <v>43367</v>
      </c>
      <c r="C121" s="415" t="s">
        <v>396</v>
      </c>
      <c r="D121" s="415"/>
      <c r="E121" s="415"/>
      <c r="F121" s="172">
        <v>0.97</v>
      </c>
      <c r="H121" s="502" t="s">
        <v>376</v>
      </c>
    </row>
    <row r="122" spans="1:13" ht="15.6" x14ac:dyDescent="0.3">
      <c r="B122" s="377"/>
      <c r="C122" s="415" t="s">
        <v>365</v>
      </c>
      <c r="D122" s="415"/>
      <c r="E122" s="415"/>
      <c r="F122" s="172">
        <f>SUM(F119:F121)</f>
        <v>1.94</v>
      </c>
      <c r="H122" s="501"/>
    </row>
    <row r="123" spans="1:13" ht="15.6" x14ac:dyDescent="0.3">
      <c r="B123" s="507">
        <f>B2</f>
        <v>43465</v>
      </c>
      <c r="C123" s="508" t="s">
        <v>2</v>
      </c>
      <c r="D123" s="508"/>
      <c r="E123" s="508"/>
      <c r="F123" s="104">
        <f>F103+F118+F122</f>
        <v>14.939999999999985</v>
      </c>
      <c r="H123" s="501"/>
    </row>
    <row r="124" spans="1:13" ht="15.6" x14ac:dyDescent="0.3">
      <c r="B124" s="114"/>
      <c r="C124" s="96"/>
      <c r="D124" s="96"/>
      <c r="E124" s="510"/>
      <c r="F124" s="115"/>
      <c r="H124" s="501"/>
    </row>
    <row r="125" spans="1:13" ht="15.6" thickBot="1" x14ac:dyDescent="0.3">
      <c r="B125" s="12"/>
      <c r="C125" s="12"/>
      <c r="D125" s="12"/>
      <c r="E125" s="12"/>
      <c r="F125" s="12"/>
    </row>
    <row r="126" spans="1:13" ht="15.6" x14ac:dyDescent="0.3">
      <c r="A126" s="95"/>
      <c r="B126" s="382" t="s">
        <v>45</v>
      </c>
      <c r="C126" s="156"/>
      <c r="D126" s="156"/>
      <c r="E126" s="199" t="s">
        <v>113</v>
      </c>
      <c r="F126" s="158"/>
    </row>
    <row r="127" spans="1:13" ht="15.6" x14ac:dyDescent="0.3">
      <c r="B127" s="113"/>
      <c r="C127" s="96" t="s">
        <v>61</v>
      </c>
      <c r="D127" s="96"/>
      <c r="E127" s="96"/>
      <c r="F127" s="152">
        <f>'project 2016'!F75</f>
        <v>2084</v>
      </c>
      <c r="H127" s="348"/>
      <c r="I127" s="116"/>
      <c r="J127" s="116"/>
      <c r="K127" s="116"/>
      <c r="L127" s="116"/>
      <c r="M127" s="116"/>
    </row>
    <row r="128" spans="1:13" ht="15.6" x14ac:dyDescent="0.3">
      <c r="B128" s="384" t="s">
        <v>81</v>
      </c>
      <c r="C128" s="173"/>
      <c r="D128" s="155"/>
      <c r="E128" s="155"/>
      <c r="F128" s="386"/>
      <c r="H128" s="348"/>
      <c r="I128" s="116"/>
      <c r="J128" s="116"/>
      <c r="K128" s="116"/>
      <c r="L128" s="116"/>
      <c r="M128" s="116"/>
    </row>
    <row r="129" spans="1:13" ht="15.6" x14ac:dyDescent="0.3">
      <c r="B129" s="174"/>
      <c r="C129" s="173"/>
      <c r="D129" s="155"/>
      <c r="E129" s="155"/>
      <c r="F129" s="175">
        <v>0</v>
      </c>
      <c r="H129" s="348"/>
      <c r="I129" s="116"/>
      <c r="J129" s="116"/>
      <c r="K129" s="116"/>
      <c r="L129" s="116"/>
      <c r="M129" s="116"/>
    </row>
    <row r="130" spans="1:13" ht="15.6" x14ac:dyDescent="0.3">
      <c r="B130" s="387">
        <f>B78</f>
        <v>42735</v>
      </c>
      <c r="C130" s="228" t="str">
        <f>C78</f>
        <v>Saldo</v>
      </c>
      <c r="D130" s="168"/>
      <c r="E130" s="168"/>
      <c r="F130" s="210">
        <f>'project 2016'!F78</f>
        <v>2084</v>
      </c>
      <c r="G130" s="7"/>
      <c r="H130" s="348"/>
      <c r="I130" s="116"/>
      <c r="J130" s="116"/>
      <c r="K130" s="193"/>
      <c r="L130" s="116"/>
      <c r="M130" s="116"/>
    </row>
    <row r="131" spans="1:13" x14ac:dyDescent="0.25">
      <c r="B131" s="174"/>
      <c r="C131" s="155"/>
      <c r="D131" s="155"/>
      <c r="E131" s="155"/>
      <c r="F131" s="177"/>
      <c r="G131" s="7"/>
      <c r="H131" s="348"/>
      <c r="I131" s="116"/>
      <c r="J131" s="116"/>
      <c r="K131" s="116"/>
      <c r="L131" s="116"/>
      <c r="M131" s="116"/>
    </row>
    <row r="132" spans="1:13" x14ac:dyDescent="0.25">
      <c r="B132" s="596">
        <v>42787</v>
      </c>
      <c r="C132" s="328" t="s">
        <v>230</v>
      </c>
      <c r="D132" s="328"/>
      <c r="E132" s="328"/>
      <c r="F132" s="597">
        <f>-200</f>
        <v>-200</v>
      </c>
      <c r="G132" s="107"/>
      <c r="H132" t="s">
        <v>335</v>
      </c>
    </row>
    <row r="133" spans="1:13" x14ac:dyDescent="0.25">
      <c r="B133" s="411">
        <v>42787</v>
      </c>
      <c r="C133" s="399" t="s">
        <v>231</v>
      </c>
      <c r="D133" s="399"/>
      <c r="E133" s="399"/>
      <c r="F133" s="412">
        <f>-1884</f>
        <v>-1884</v>
      </c>
      <c r="G133" s="107"/>
      <c r="H133" t="s">
        <v>336</v>
      </c>
    </row>
    <row r="134" spans="1:13" x14ac:dyDescent="0.25">
      <c r="B134" s="451" t="s">
        <v>306</v>
      </c>
      <c r="C134" s="171"/>
      <c r="D134" s="171"/>
      <c r="E134" s="171"/>
      <c r="F134" s="414">
        <f>SUM(F132:F133)</f>
        <v>-2084</v>
      </c>
      <c r="G134" s="7"/>
    </row>
    <row r="135" spans="1:13" ht="15.6" x14ac:dyDescent="0.3">
      <c r="B135" s="387">
        <v>43100</v>
      </c>
      <c r="C135" s="170" t="s">
        <v>2</v>
      </c>
      <c r="D135" s="170"/>
      <c r="E135" s="165"/>
      <c r="F135" s="210">
        <f>F130+F134</f>
        <v>0</v>
      </c>
      <c r="G135" s="7"/>
    </row>
    <row r="136" spans="1:13" ht="16.2" thickBot="1" x14ac:dyDescent="0.35">
      <c r="B136" s="385"/>
      <c r="C136" s="585" t="s">
        <v>420</v>
      </c>
      <c r="D136" s="585"/>
      <c r="E136" s="419"/>
      <c r="F136" s="209"/>
      <c r="G136" s="7"/>
    </row>
    <row r="137" spans="1:13" ht="13.8" thickBot="1" x14ac:dyDescent="0.3"/>
    <row r="138" spans="1:13" ht="15.6" x14ac:dyDescent="0.3">
      <c r="A138" s="95"/>
      <c r="B138" s="223" t="s">
        <v>95</v>
      </c>
      <c r="C138" s="182"/>
      <c r="D138" s="157"/>
      <c r="E138" s="199" t="s">
        <v>114</v>
      </c>
      <c r="F138" s="176"/>
    </row>
    <row r="139" spans="1:13" ht="15.6" x14ac:dyDescent="0.3">
      <c r="B139" s="388"/>
      <c r="C139" s="115" t="s">
        <v>96</v>
      </c>
      <c r="D139" s="115"/>
      <c r="E139" s="115"/>
      <c r="F139" s="152"/>
    </row>
    <row r="140" spans="1:13" ht="15.6" x14ac:dyDescent="0.3">
      <c r="B140" s="388"/>
      <c r="C140" s="115" t="s">
        <v>60</v>
      </c>
      <c r="D140" s="115"/>
      <c r="E140" s="115"/>
      <c r="F140" s="152">
        <f>'project 2016'!F83</f>
        <v>-933.27</v>
      </c>
    </row>
    <row r="141" spans="1:13" ht="15.6" x14ac:dyDescent="0.3">
      <c r="B141" s="384" t="s">
        <v>81</v>
      </c>
      <c r="C141" s="155"/>
      <c r="D141" s="155"/>
      <c r="E141" s="155"/>
      <c r="F141" s="177"/>
      <c r="H141" s="7"/>
    </row>
    <row r="142" spans="1:13" ht="15.6" x14ac:dyDescent="0.3">
      <c r="B142" s="135">
        <v>42382</v>
      </c>
      <c r="C142" s="181" t="s">
        <v>97</v>
      </c>
      <c r="D142" s="181"/>
      <c r="E142" s="181"/>
      <c r="F142" s="175">
        <v>1250</v>
      </c>
    </row>
    <row r="143" spans="1:13" x14ac:dyDescent="0.25">
      <c r="B143" s="174"/>
      <c r="C143" s="155"/>
      <c r="D143" s="155"/>
      <c r="E143" s="155"/>
      <c r="F143" s="177"/>
    </row>
    <row r="144" spans="1:13" ht="15.6" x14ac:dyDescent="0.3">
      <c r="B144" s="174"/>
      <c r="C144" s="180" t="s">
        <v>68</v>
      </c>
      <c r="D144" s="180"/>
      <c r="E144" s="180"/>
      <c r="F144" s="175">
        <f>F140+F142</f>
        <v>316.73</v>
      </c>
    </row>
    <row r="145" spans="2:9" x14ac:dyDescent="0.25">
      <c r="B145" s="174"/>
      <c r="C145" s="155"/>
      <c r="D145" s="155"/>
      <c r="E145" s="155"/>
      <c r="F145" s="177"/>
    </row>
    <row r="146" spans="2:9" ht="15" x14ac:dyDescent="0.25">
      <c r="B146" s="206">
        <v>42522</v>
      </c>
      <c r="C146" s="181" t="s">
        <v>124</v>
      </c>
      <c r="D146" s="155"/>
      <c r="E146" s="155"/>
      <c r="F146" s="398">
        <v>-216.59</v>
      </c>
    </row>
    <row r="147" spans="2:9" x14ac:dyDescent="0.25">
      <c r="B147" s="174"/>
      <c r="C147" s="155"/>
      <c r="D147" s="155"/>
      <c r="E147" s="155"/>
      <c r="F147" s="177"/>
    </row>
    <row r="148" spans="2:9" ht="15.6" x14ac:dyDescent="0.3">
      <c r="B148" s="105">
        <f>B130</f>
        <v>42735</v>
      </c>
      <c r="C148" s="227" t="s">
        <v>2</v>
      </c>
      <c r="D148" s="227"/>
      <c r="E148" s="227"/>
      <c r="F148" s="152">
        <f>'project 2016'!F91</f>
        <v>100.14000000000001</v>
      </c>
    </row>
    <row r="149" spans="2:9" ht="15.6" x14ac:dyDescent="0.3">
      <c r="B149" s="359" t="s">
        <v>101</v>
      </c>
      <c r="C149" s="211"/>
      <c r="D149" s="211"/>
      <c r="E149" s="211"/>
      <c r="F149" s="210"/>
    </row>
    <row r="150" spans="2:9" ht="15.6" x14ac:dyDescent="0.3">
      <c r="B150" s="400">
        <v>42795</v>
      </c>
      <c r="C150" s="180" t="s">
        <v>244</v>
      </c>
      <c r="D150" s="180"/>
      <c r="E150" s="180"/>
      <c r="F150" s="175">
        <f>-68.7</f>
        <v>-68.7</v>
      </c>
      <c r="I150" s="7"/>
    </row>
    <row r="151" spans="2:9" ht="15.6" x14ac:dyDescent="0.3">
      <c r="B151" s="359" t="s">
        <v>263</v>
      </c>
      <c r="C151" s="211"/>
      <c r="D151" s="211"/>
      <c r="E151" s="211"/>
      <c r="F151" s="210">
        <f>F150</f>
        <v>-68.7</v>
      </c>
    </row>
    <row r="152" spans="2:9" ht="15.6" x14ac:dyDescent="0.3">
      <c r="B152" s="105">
        <v>43100</v>
      </c>
      <c r="C152" s="227" t="s">
        <v>2</v>
      </c>
      <c r="D152" s="227"/>
      <c r="E152" s="227"/>
      <c r="F152" s="152">
        <v>31.44</v>
      </c>
      <c r="H152" s="116"/>
    </row>
    <row r="153" spans="2:9" ht="15.6" x14ac:dyDescent="0.3">
      <c r="B153" s="377"/>
      <c r="C153" s="415" t="s">
        <v>362</v>
      </c>
      <c r="D153" s="415"/>
      <c r="E153" s="415"/>
      <c r="F153" s="172"/>
    </row>
    <row r="154" spans="2:9" ht="15.6" x14ac:dyDescent="0.3">
      <c r="B154" s="377"/>
      <c r="C154" s="415" t="s">
        <v>364</v>
      </c>
      <c r="D154" s="415"/>
      <c r="E154" s="415"/>
      <c r="F154" s="172">
        <f>SUM(F153:F153)</f>
        <v>0</v>
      </c>
    </row>
    <row r="155" spans="2:9" ht="15.6" x14ac:dyDescent="0.3">
      <c r="B155" s="377"/>
      <c r="C155" s="415" t="s">
        <v>363</v>
      </c>
      <c r="D155" s="415"/>
      <c r="E155" s="415"/>
      <c r="F155" s="172"/>
    </row>
    <row r="156" spans="2:9" ht="15.6" x14ac:dyDescent="0.3">
      <c r="B156" s="377"/>
      <c r="C156" s="415" t="s">
        <v>365</v>
      </c>
      <c r="D156" s="415"/>
      <c r="E156" s="415"/>
      <c r="F156" s="172">
        <f>SUM(F155:F155)</f>
        <v>0</v>
      </c>
    </row>
    <row r="157" spans="2:9" ht="15.6" x14ac:dyDescent="0.3">
      <c r="B157" s="507">
        <f>B2</f>
        <v>43465</v>
      </c>
      <c r="C157" s="508" t="s">
        <v>2</v>
      </c>
      <c r="D157" s="508"/>
      <c r="E157" s="508"/>
      <c r="F157" s="104">
        <f>F152+F154+F156</f>
        <v>31.44</v>
      </c>
    </row>
    <row r="158" spans="2:9" ht="16.2" thickBot="1" x14ac:dyDescent="0.35">
      <c r="B158" s="161"/>
      <c r="C158" s="143"/>
      <c r="D158" s="162"/>
      <c r="E158" s="162"/>
      <c r="F158" s="163"/>
    </row>
    <row r="159" spans="2:9" ht="13.8" thickBot="1" x14ac:dyDescent="0.3"/>
    <row r="160" spans="2:9" x14ac:dyDescent="0.25">
      <c r="B160" s="368" t="s">
        <v>131</v>
      </c>
      <c r="C160" s="369"/>
      <c r="D160" s="369"/>
      <c r="E160" s="369"/>
      <c r="F160" s="370"/>
    </row>
    <row r="161" spans="2:10" ht="15.6" x14ac:dyDescent="0.3">
      <c r="B161" s="389" t="s">
        <v>83</v>
      </c>
      <c r="C161" s="371"/>
      <c r="D161" s="155"/>
      <c r="E161" s="372" t="s">
        <v>115</v>
      </c>
      <c r="F161" s="177"/>
    </row>
    <row r="162" spans="2:10" ht="18" customHeight="1" x14ac:dyDescent="0.3">
      <c r="B162" s="359">
        <v>42004</v>
      </c>
      <c r="C162" s="373" t="s">
        <v>84</v>
      </c>
      <c r="D162" s="373"/>
      <c r="E162" s="373"/>
      <c r="F162" s="172">
        <v>0</v>
      </c>
    </row>
    <row r="163" spans="2:10" ht="11.25" customHeight="1" x14ac:dyDescent="0.3">
      <c r="B163" s="390">
        <v>42343</v>
      </c>
      <c r="C163" s="115" t="s">
        <v>85</v>
      </c>
      <c r="D163" s="115" t="s">
        <v>86</v>
      </c>
      <c r="E163" s="115"/>
      <c r="F163" s="152">
        <v>5000</v>
      </c>
      <c r="J163">
        <v>0</v>
      </c>
    </row>
    <row r="164" spans="2:10" ht="15.75" customHeight="1" x14ac:dyDescent="0.3">
      <c r="B164" s="388"/>
      <c r="C164" s="115" t="s">
        <v>61</v>
      </c>
      <c r="D164" s="115"/>
      <c r="E164" s="115"/>
      <c r="F164" s="152">
        <f>F163</f>
        <v>5000</v>
      </c>
    </row>
    <row r="165" spans="2:10" ht="18" customHeight="1" x14ac:dyDescent="0.3">
      <c r="B165" s="384" t="s">
        <v>81</v>
      </c>
      <c r="C165" s="155"/>
      <c r="D165" s="155"/>
      <c r="E165" s="155"/>
      <c r="F165" s="177"/>
      <c r="J165">
        <v>7537.8399999999983</v>
      </c>
    </row>
    <row r="166" spans="2:10" ht="12.75" customHeight="1" x14ac:dyDescent="0.3">
      <c r="B166" s="135">
        <v>42424</v>
      </c>
      <c r="C166" s="181" t="s">
        <v>90</v>
      </c>
      <c r="D166" s="179"/>
      <c r="E166" s="179"/>
      <c r="F166" s="175">
        <v>10000</v>
      </c>
      <c r="J166">
        <v>0</v>
      </c>
    </row>
    <row r="167" spans="2:10" ht="16.5" customHeight="1" x14ac:dyDescent="0.3">
      <c r="B167" s="135">
        <v>42424</v>
      </c>
      <c r="C167" s="179" t="s">
        <v>87</v>
      </c>
      <c r="D167" s="179"/>
      <c r="E167" s="180"/>
      <c r="F167" s="175">
        <v>5000</v>
      </c>
      <c r="J167">
        <v>48.66</v>
      </c>
    </row>
    <row r="168" spans="2:10" ht="12.75" customHeight="1" x14ac:dyDescent="0.3">
      <c r="B168" s="135">
        <v>42523</v>
      </c>
      <c r="C168" s="181" t="s">
        <v>120</v>
      </c>
      <c r="D168" s="181"/>
      <c r="E168" s="180"/>
      <c r="F168" s="205">
        <v>2500</v>
      </c>
      <c r="J168">
        <v>0</v>
      </c>
    </row>
    <row r="169" spans="2:10" ht="16.5" customHeight="1" x14ac:dyDescent="0.3">
      <c r="B169" s="135">
        <v>42536</v>
      </c>
      <c r="C169" s="181" t="s">
        <v>123</v>
      </c>
      <c r="D169" s="181"/>
      <c r="E169" s="180"/>
      <c r="F169" s="205">
        <v>1500</v>
      </c>
    </row>
    <row r="170" spans="2:10" ht="11.25" customHeight="1" x14ac:dyDescent="0.25">
      <c r="B170" s="207" t="s">
        <v>147</v>
      </c>
      <c r="C170" s="181" t="s">
        <v>146</v>
      </c>
      <c r="D170" s="181"/>
      <c r="E170" s="181"/>
      <c r="F170" s="205">
        <v>950</v>
      </c>
      <c r="J170">
        <v>926</v>
      </c>
    </row>
    <row r="171" spans="2:10" ht="15" customHeight="1" x14ac:dyDescent="0.3">
      <c r="B171" s="135"/>
      <c r="C171" s="227" t="s">
        <v>151</v>
      </c>
      <c r="D171" s="227"/>
      <c r="E171" s="227"/>
      <c r="F171" s="152">
        <f>SUM(F166:F170)</f>
        <v>19950</v>
      </c>
    </row>
    <row r="172" spans="2:10" ht="15" customHeight="1" x14ac:dyDescent="0.3">
      <c r="B172" s="135"/>
      <c r="C172" s="180"/>
      <c r="D172" s="180"/>
      <c r="E172" s="180"/>
      <c r="F172" s="175"/>
    </row>
    <row r="173" spans="2:10" ht="19.5" customHeight="1" x14ac:dyDescent="0.3">
      <c r="B173" s="135">
        <v>42515</v>
      </c>
      <c r="C173" s="180" t="s">
        <v>128</v>
      </c>
      <c r="D173" s="180"/>
      <c r="E173" s="180"/>
      <c r="F173" s="175">
        <f>-907.5</f>
        <v>-907.5</v>
      </c>
    </row>
    <row r="174" spans="2:10" ht="15" customHeight="1" x14ac:dyDescent="0.3">
      <c r="B174" s="135">
        <v>42612</v>
      </c>
      <c r="C174" s="180" t="s">
        <v>127</v>
      </c>
      <c r="D174" s="180"/>
      <c r="E174" s="180"/>
      <c r="F174" s="175">
        <f>-5248.38</f>
        <v>-5248.38</v>
      </c>
    </row>
    <row r="175" spans="2:10" ht="16.5" customHeight="1" x14ac:dyDescent="0.3">
      <c r="B175" s="135"/>
      <c r="C175" s="180"/>
      <c r="D175" s="180"/>
      <c r="E175" s="180"/>
      <c r="F175" s="175"/>
    </row>
    <row r="176" spans="2:10" ht="19.5" customHeight="1" x14ac:dyDescent="0.3">
      <c r="B176" s="135">
        <v>42612</v>
      </c>
      <c r="C176" s="180" t="s">
        <v>135</v>
      </c>
      <c r="D176" s="180"/>
      <c r="E176" s="180"/>
      <c r="F176" s="175">
        <f>-201.95</f>
        <v>-201.95</v>
      </c>
    </row>
    <row r="177" spans="2:10" ht="21" customHeight="1" x14ac:dyDescent="0.3">
      <c r="B177" s="135">
        <v>42615</v>
      </c>
      <c r="C177" s="180" t="s">
        <v>136</v>
      </c>
      <c r="D177" s="180"/>
      <c r="E177" s="180"/>
      <c r="F177" s="175">
        <f>-9709.6</f>
        <v>-9709.6</v>
      </c>
    </row>
    <row r="178" spans="2:10" ht="17.25" customHeight="1" x14ac:dyDescent="0.3">
      <c r="B178" s="135">
        <v>42621</v>
      </c>
      <c r="C178" s="180" t="s">
        <v>138</v>
      </c>
      <c r="D178" s="180"/>
      <c r="E178" s="180"/>
      <c r="F178" s="175">
        <v>-96.61</v>
      </c>
    </row>
    <row r="179" spans="2:10" ht="16.5" customHeight="1" x14ac:dyDescent="0.3">
      <c r="B179" s="207">
        <v>42648</v>
      </c>
      <c r="C179" s="180" t="s">
        <v>137</v>
      </c>
      <c r="D179" s="180"/>
      <c r="E179" s="180"/>
      <c r="F179" s="175">
        <v>-393.45</v>
      </c>
      <c r="H179" s="116"/>
    </row>
    <row r="180" spans="2:10" ht="17.25" customHeight="1" x14ac:dyDescent="0.3">
      <c r="B180" s="207">
        <v>42697</v>
      </c>
      <c r="C180" s="180" t="s">
        <v>136</v>
      </c>
      <c r="D180" s="180"/>
      <c r="E180" s="180"/>
      <c r="F180" s="175">
        <v>-54.45</v>
      </c>
      <c r="H180" s="116"/>
    </row>
    <row r="181" spans="2:10" ht="11.25" customHeight="1" x14ac:dyDescent="0.3">
      <c r="B181" s="207">
        <v>42704</v>
      </c>
      <c r="C181" s="180" t="s">
        <v>143</v>
      </c>
      <c r="D181" s="180"/>
      <c r="E181" s="180"/>
      <c r="F181" s="175">
        <v>-299.48</v>
      </c>
      <c r="H181" s="116"/>
    </row>
    <row r="182" spans="2:10" ht="18" customHeight="1" x14ac:dyDescent="0.3">
      <c r="B182" s="207">
        <v>42716</v>
      </c>
      <c r="C182" s="180" t="s">
        <v>155</v>
      </c>
      <c r="D182" s="180"/>
      <c r="E182" s="180"/>
      <c r="F182" s="175">
        <f>-225</f>
        <v>-225</v>
      </c>
      <c r="H182" s="116"/>
    </row>
    <row r="183" spans="2:10" ht="16.5" customHeight="1" x14ac:dyDescent="0.3">
      <c r="B183" s="207">
        <v>42724</v>
      </c>
      <c r="C183" s="181" t="s">
        <v>156</v>
      </c>
      <c r="D183" s="181"/>
      <c r="E183" s="181"/>
      <c r="F183" s="175">
        <v>-105.27</v>
      </c>
      <c r="H183" s="116"/>
    </row>
    <row r="184" spans="2:10" ht="21.75" customHeight="1" x14ac:dyDescent="0.3">
      <c r="B184" s="207"/>
      <c r="C184" s="227"/>
      <c r="D184" s="227"/>
      <c r="E184" s="227"/>
      <c r="F184" s="152"/>
      <c r="H184" s="116"/>
    </row>
    <row r="185" spans="2:10" ht="15" customHeight="1" x14ac:dyDescent="0.3">
      <c r="B185" s="207"/>
      <c r="C185" s="227" t="s">
        <v>157</v>
      </c>
      <c r="D185" s="227"/>
      <c r="E185" s="227"/>
      <c r="F185" s="152">
        <f>SUM(F173:F183)</f>
        <v>-17241.690000000002</v>
      </c>
      <c r="H185" s="116"/>
    </row>
    <row r="186" spans="2:10" ht="22.5" customHeight="1" x14ac:dyDescent="0.3">
      <c r="B186" s="207">
        <v>42731</v>
      </c>
      <c r="C186" s="227" t="s">
        <v>164</v>
      </c>
      <c r="D186" s="227"/>
      <c r="E186" s="227"/>
      <c r="F186" s="152">
        <v>40</v>
      </c>
      <c r="G186" s="95"/>
      <c r="H186" s="116" t="s">
        <v>326</v>
      </c>
      <c r="I186" s="500">
        <v>43125</v>
      </c>
      <c r="J186" t="s">
        <v>328</v>
      </c>
    </row>
    <row r="187" spans="2:10" ht="18" customHeight="1" x14ac:dyDescent="0.3">
      <c r="B187" s="207">
        <v>42731</v>
      </c>
      <c r="C187" s="227" t="s">
        <v>164</v>
      </c>
      <c r="D187" s="227"/>
      <c r="E187" s="227"/>
      <c r="F187" s="152">
        <v>405</v>
      </c>
      <c r="G187" s="95"/>
      <c r="H187" s="116" t="s">
        <v>327</v>
      </c>
      <c r="I187" s="500">
        <v>43125</v>
      </c>
      <c r="J187" t="s">
        <v>328</v>
      </c>
    </row>
    <row r="188" spans="2:10" ht="28.5" customHeight="1" x14ac:dyDescent="0.3">
      <c r="B188" s="359">
        <f>B148</f>
        <v>42735</v>
      </c>
      <c r="C188" s="211" t="str">
        <f>C148</f>
        <v>Saldo</v>
      </c>
      <c r="D188" s="211"/>
      <c r="E188" s="211"/>
      <c r="F188" s="210">
        <f>'project 2016'!F122</f>
        <v>8153.3099999999977</v>
      </c>
      <c r="H188" s="116"/>
    </row>
    <row r="189" spans="2:10" ht="21.75" customHeight="1" x14ac:dyDescent="0.3">
      <c r="B189" s="400" t="s">
        <v>100</v>
      </c>
      <c r="C189" s="180"/>
      <c r="D189" s="180"/>
      <c r="E189" s="180"/>
      <c r="F189" s="175"/>
      <c r="H189" s="116"/>
    </row>
    <row r="190" spans="2:10" ht="20.25" customHeight="1" x14ac:dyDescent="0.3">
      <c r="B190" s="400">
        <v>42736</v>
      </c>
      <c r="C190" s="180" t="s">
        <v>59</v>
      </c>
      <c r="D190" s="180"/>
      <c r="E190" s="180"/>
      <c r="F190" s="175">
        <v>13.29</v>
      </c>
      <c r="G190" s="95"/>
      <c r="H190" s="116" t="s">
        <v>330</v>
      </c>
    </row>
    <row r="191" spans="2:10" ht="13.5" customHeight="1" x14ac:dyDescent="0.3">
      <c r="B191" s="400">
        <v>42926</v>
      </c>
      <c r="C191" s="180" t="s">
        <v>164</v>
      </c>
      <c r="D191" s="180"/>
      <c r="E191" s="180"/>
      <c r="F191" s="175">
        <v>60</v>
      </c>
      <c r="G191" s="95"/>
      <c r="H191" s="116" t="s">
        <v>330</v>
      </c>
    </row>
    <row r="192" spans="2:10" ht="18.75" customHeight="1" x14ac:dyDescent="0.3">
      <c r="B192" s="400">
        <v>43056</v>
      </c>
      <c r="C192" s="180" t="s">
        <v>282</v>
      </c>
      <c r="D192" s="180"/>
      <c r="E192" s="180"/>
      <c r="F192" s="175">
        <v>30</v>
      </c>
      <c r="G192" s="95"/>
      <c r="H192" s="116" t="s">
        <v>330</v>
      </c>
    </row>
    <row r="193" spans="2:10" ht="17.25" customHeight="1" x14ac:dyDescent="0.3">
      <c r="B193" s="105" t="s">
        <v>303</v>
      </c>
      <c r="C193" s="227"/>
      <c r="D193" s="227"/>
      <c r="E193" s="227"/>
      <c r="F193" s="152">
        <f>SUM(F190:F192)</f>
        <v>103.28999999999999</v>
      </c>
      <c r="H193" s="116"/>
    </row>
    <row r="194" spans="2:10" ht="15.75" customHeight="1" x14ac:dyDescent="0.3">
      <c r="B194" s="400" t="s">
        <v>101</v>
      </c>
      <c r="C194" s="180"/>
      <c r="D194" s="180"/>
      <c r="E194" s="180"/>
      <c r="F194" s="175"/>
      <c r="H194" s="116"/>
    </row>
    <row r="195" spans="2:10" ht="21" customHeight="1" x14ac:dyDescent="0.3">
      <c r="B195" s="400">
        <v>42787</v>
      </c>
      <c r="C195" s="180" t="s">
        <v>238</v>
      </c>
      <c r="D195" s="180"/>
      <c r="E195" s="180"/>
      <c r="F195" s="175">
        <f>-F190</f>
        <v>-13.29</v>
      </c>
      <c r="G195" s="95"/>
      <c r="H195" s="116" t="s">
        <v>335</v>
      </c>
    </row>
    <row r="196" spans="2:10" ht="20.25" customHeight="1" x14ac:dyDescent="0.3">
      <c r="B196" s="400">
        <v>42885</v>
      </c>
      <c r="C196" s="180" t="s">
        <v>253</v>
      </c>
      <c r="D196" s="180" t="s">
        <v>254</v>
      </c>
      <c r="E196" s="180"/>
      <c r="F196" s="175">
        <v>-326.7</v>
      </c>
      <c r="G196" s="95"/>
      <c r="H196" s="193" t="s">
        <v>342</v>
      </c>
      <c r="I196" s="7" t="s">
        <v>339</v>
      </c>
      <c r="J196" s="116"/>
    </row>
    <row r="197" spans="2:10" ht="15.75" customHeight="1" x14ac:dyDescent="0.3">
      <c r="B197" s="400">
        <v>42926</v>
      </c>
      <c r="C197" s="180" t="s">
        <v>253</v>
      </c>
      <c r="D197" s="180"/>
      <c r="E197" s="180"/>
      <c r="F197" s="175">
        <v>-159.72</v>
      </c>
      <c r="G197" s="95"/>
      <c r="H197" s="193" t="s">
        <v>342</v>
      </c>
      <c r="I197" s="168" t="s">
        <v>353</v>
      </c>
      <c r="J197" s="420" t="s">
        <v>83</v>
      </c>
    </row>
    <row r="198" spans="2:10" ht="29.25" customHeight="1" x14ac:dyDescent="0.3">
      <c r="B198" s="400">
        <v>43025</v>
      </c>
      <c r="C198" s="180" t="s">
        <v>253</v>
      </c>
      <c r="D198" s="180"/>
      <c r="E198" s="180"/>
      <c r="F198" s="175">
        <v>-127.05</v>
      </c>
      <c r="G198" s="95"/>
      <c r="H198" s="193" t="s">
        <v>342</v>
      </c>
      <c r="I198" s="168" t="s">
        <v>353</v>
      </c>
      <c r="J198" s="420" t="s">
        <v>83</v>
      </c>
    </row>
    <row r="199" spans="2:10" ht="11.25" customHeight="1" x14ac:dyDescent="0.3">
      <c r="B199" s="400">
        <v>43025</v>
      </c>
      <c r="C199" s="180" t="s">
        <v>274</v>
      </c>
      <c r="D199" s="180"/>
      <c r="E199" s="180"/>
      <c r="F199" s="175">
        <v>-92</v>
      </c>
      <c r="G199" s="95"/>
      <c r="H199" s="116" t="s">
        <v>331</v>
      </c>
      <c r="I199" s="116"/>
    </row>
    <row r="200" spans="2:10" ht="33" customHeight="1" x14ac:dyDescent="0.3">
      <c r="B200" s="105" t="s">
        <v>304</v>
      </c>
      <c r="C200" s="227"/>
      <c r="D200" s="227"/>
      <c r="E200" s="227"/>
      <c r="F200" s="152">
        <f>SUM(F195:F199)</f>
        <v>-718.76</v>
      </c>
      <c r="H200" s="116"/>
    </row>
    <row r="201" spans="2:10" ht="15.6" x14ac:dyDescent="0.3">
      <c r="B201" s="400">
        <v>43100</v>
      </c>
      <c r="C201" s="211" t="s">
        <v>422</v>
      </c>
      <c r="D201" s="211"/>
      <c r="E201" s="211"/>
      <c r="F201" s="210">
        <v>7537.84</v>
      </c>
      <c r="H201" s="116"/>
    </row>
    <row r="202" spans="2:10" ht="15.6" x14ac:dyDescent="0.3">
      <c r="B202" s="377"/>
      <c r="C202" s="415" t="s">
        <v>362</v>
      </c>
      <c r="D202" s="415"/>
      <c r="E202" s="415"/>
      <c r="F202" s="172"/>
      <c r="H202" s="116"/>
    </row>
    <row r="203" spans="2:10" ht="15.6" x14ac:dyDescent="0.3">
      <c r="B203" s="377">
        <v>43234</v>
      </c>
      <c r="C203" s="415" t="s">
        <v>381</v>
      </c>
      <c r="D203" s="415"/>
      <c r="E203" s="415"/>
      <c r="F203" s="172">
        <v>-186.2</v>
      </c>
      <c r="H203" s="615"/>
    </row>
    <row r="204" spans="2:10" ht="15.6" x14ac:dyDescent="0.3">
      <c r="B204" s="377">
        <v>43285</v>
      </c>
      <c r="C204" s="415" t="s">
        <v>388</v>
      </c>
      <c r="D204" s="415"/>
      <c r="E204" s="415"/>
      <c r="F204" s="172">
        <v>-71.09</v>
      </c>
      <c r="H204" s="193" t="s">
        <v>460</v>
      </c>
    </row>
    <row r="205" spans="2:10" ht="15.6" x14ac:dyDescent="0.3">
      <c r="B205" s="377">
        <v>43285</v>
      </c>
      <c r="C205" s="415" t="s">
        <v>389</v>
      </c>
      <c r="D205" s="415"/>
      <c r="E205" s="415"/>
      <c r="F205" s="172">
        <v>-24.75</v>
      </c>
      <c r="H205" s="615"/>
    </row>
    <row r="206" spans="2:10" ht="15.6" x14ac:dyDescent="0.3">
      <c r="B206" s="377">
        <v>43289</v>
      </c>
      <c r="C206" s="415" t="s">
        <v>390</v>
      </c>
      <c r="D206" s="415"/>
      <c r="E206" s="415"/>
      <c r="F206" s="172">
        <v>-326.7</v>
      </c>
      <c r="H206" s="193" t="s">
        <v>378</v>
      </c>
    </row>
    <row r="207" spans="2:10" ht="15.6" x14ac:dyDescent="0.3">
      <c r="B207" s="377">
        <v>43290</v>
      </c>
      <c r="C207" s="415" t="s">
        <v>391</v>
      </c>
      <c r="D207" s="415"/>
      <c r="E207" s="415"/>
      <c r="F207" s="172">
        <v>-97.28</v>
      </c>
      <c r="H207" s="615"/>
    </row>
    <row r="208" spans="2:10" ht="15.6" x14ac:dyDescent="0.3">
      <c r="B208" s="377">
        <v>43297</v>
      </c>
      <c r="C208" s="415" t="s">
        <v>392</v>
      </c>
      <c r="D208" s="415"/>
      <c r="E208" s="415"/>
      <c r="F208" s="172">
        <v>-504.57</v>
      </c>
      <c r="H208" s="193" t="s">
        <v>378</v>
      </c>
    </row>
    <row r="209" spans="1:8" ht="15.6" x14ac:dyDescent="0.3">
      <c r="B209" s="377">
        <v>43300</v>
      </c>
      <c r="C209" s="415" t="s">
        <v>394</v>
      </c>
      <c r="D209" s="415"/>
      <c r="E209" s="415"/>
      <c r="F209" s="172">
        <v>-150</v>
      </c>
      <c r="H209" s="615"/>
    </row>
    <row r="210" spans="1:8" ht="15.6" x14ac:dyDescent="0.3">
      <c r="B210" s="377">
        <v>43375</v>
      </c>
      <c r="C210" s="415" t="s">
        <v>395</v>
      </c>
      <c r="D210" s="415"/>
      <c r="E210" s="415"/>
      <c r="F210" s="172">
        <v>-549.08000000000004</v>
      </c>
      <c r="H210" s="615"/>
    </row>
    <row r="211" spans="1:8" ht="15.6" x14ac:dyDescent="0.3">
      <c r="B211" s="377">
        <v>43382</v>
      </c>
      <c r="C211" s="415" t="s">
        <v>397</v>
      </c>
      <c r="D211" s="415"/>
      <c r="E211" s="415"/>
      <c r="F211" s="172">
        <v>-48</v>
      </c>
      <c r="H211" s="193" t="s">
        <v>378</v>
      </c>
    </row>
    <row r="212" spans="1:8" ht="15.6" x14ac:dyDescent="0.3">
      <c r="B212" s="377">
        <v>43388</v>
      </c>
      <c r="C212" s="415" t="s">
        <v>399</v>
      </c>
      <c r="D212" s="415"/>
      <c r="E212" s="415"/>
      <c r="F212" s="172">
        <v>-202.58</v>
      </c>
      <c r="H212" s="116" t="s">
        <v>400</v>
      </c>
    </row>
    <row r="213" spans="1:8" ht="15.6" x14ac:dyDescent="0.3">
      <c r="B213" s="377">
        <v>43405</v>
      </c>
      <c r="C213" s="415" t="s">
        <v>401</v>
      </c>
      <c r="D213" s="415"/>
      <c r="E213" s="415"/>
      <c r="F213" s="172">
        <v>-315.60000000000002</v>
      </c>
      <c r="H213" s="615"/>
    </row>
    <row r="214" spans="1:8" ht="15.6" x14ac:dyDescent="0.3">
      <c r="B214" s="377"/>
      <c r="C214" s="415"/>
      <c r="D214" s="415"/>
      <c r="E214" s="415"/>
      <c r="F214" s="172"/>
      <c r="H214" s="116"/>
    </row>
    <row r="215" spans="1:8" ht="15.6" x14ac:dyDescent="0.3">
      <c r="B215" s="377"/>
      <c r="C215" s="415" t="s">
        <v>364</v>
      </c>
      <c r="D215" s="415"/>
      <c r="E215" s="415"/>
      <c r="F215" s="172">
        <f>SUM(F202:F213)</f>
        <v>-2475.85</v>
      </c>
      <c r="H215" s="116"/>
    </row>
    <row r="216" spans="1:8" ht="15.6" x14ac:dyDescent="0.3">
      <c r="B216" s="377"/>
      <c r="C216" s="415" t="s">
        <v>363</v>
      </c>
      <c r="D216" s="415"/>
      <c r="E216" s="415"/>
      <c r="F216" s="172"/>
      <c r="H216" s="116"/>
    </row>
    <row r="217" spans="1:8" ht="15.6" x14ac:dyDescent="0.3">
      <c r="B217" s="377">
        <v>43101</v>
      </c>
      <c r="C217" s="415" t="s">
        <v>59</v>
      </c>
      <c r="D217" s="415"/>
      <c r="E217" s="415"/>
      <c r="F217" s="172">
        <v>1.68</v>
      </c>
      <c r="H217" s="193" t="s">
        <v>376</v>
      </c>
    </row>
    <row r="218" spans="1:8" ht="15.6" x14ac:dyDescent="0.3">
      <c r="B218" s="377"/>
      <c r="C218" s="415"/>
      <c r="D218" s="415"/>
      <c r="E218" s="415"/>
      <c r="F218" s="172"/>
      <c r="H218" s="116"/>
    </row>
    <row r="219" spans="1:8" ht="15.6" x14ac:dyDescent="0.3">
      <c r="B219" s="377"/>
      <c r="C219" s="415" t="s">
        <v>365</v>
      </c>
      <c r="D219" s="415"/>
      <c r="E219" s="415"/>
      <c r="F219" s="172">
        <f>SUM(F216:F218)</f>
        <v>1.68</v>
      </c>
      <c r="H219" s="116"/>
    </row>
    <row r="220" spans="1:8" ht="15.6" x14ac:dyDescent="0.3">
      <c r="B220" s="507">
        <f>B2</f>
        <v>43465</v>
      </c>
      <c r="C220" s="508" t="s">
        <v>2</v>
      </c>
      <c r="D220" s="508"/>
      <c r="E220" s="508"/>
      <c r="F220" s="104">
        <f>F201+F215+F219</f>
        <v>5063.67</v>
      </c>
      <c r="H220" s="116"/>
    </row>
    <row r="221" spans="1:8" ht="16.2" thickBot="1" x14ac:dyDescent="0.35">
      <c r="B221" s="161"/>
      <c r="C221" s="143"/>
      <c r="D221" s="162"/>
      <c r="E221" s="162"/>
      <c r="F221" s="163"/>
      <c r="H221" s="116"/>
    </row>
    <row r="222" spans="1:8" ht="15.6" x14ac:dyDescent="0.3">
      <c r="B222" s="13"/>
      <c r="C222" s="204"/>
      <c r="D222" s="204"/>
      <c r="E222" s="204"/>
      <c r="F222" s="202"/>
    </row>
    <row r="223" spans="1:8" ht="13.8" thickBot="1" x14ac:dyDescent="0.3"/>
    <row r="224" spans="1:8" ht="15.6" x14ac:dyDescent="0.3">
      <c r="A224" s="95"/>
      <c r="B224" s="223" t="s">
        <v>88</v>
      </c>
      <c r="C224" s="182"/>
      <c r="D224" s="182"/>
      <c r="E224" s="393" t="s">
        <v>116</v>
      </c>
      <c r="F224" s="394"/>
    </row>
    <row r="225" spans="2:8" ht="1.5" customHeight="1" x14ac:dyDescent="0.3">
      <c r="B225" s="388"/>
      <c r="C225" s="115" t="s">
        <v>60</v>
      </c>
      <c r="D225" s="115"/>
      <c r="E225" s="115"/>
      <c r="F225" s="152">
        <v>0</v>
      </c>
    </row>
    <row r="226" spans="2:8" ht="15.6" hidden="1" x14ac:dyDescent="0.3">
      <c r="B226" s="384" t="s">
        <v>81</v>
      </c>
      <c r="C226" s="374"/>
      <c r="D226" s="155"/>
      <c r="E226" s="155"/>
      <c r="F226" s="177"/>
    </row>
    <row r="227" spans="2:8" ht="15.6" hidden="1" x14ac:dyDescent="0.3">
      <c r="B227" s="135">
        <v>42466</v>
      </c>
      <c r="C227" s="181" t="s">
        <v>89</v>
      </c>
      <c r="D227" s="181"/>
      <c r="E227" s="181"/>
      <c r="F227" s="175">
        <v>1500</v>
      </c>
    </row>
    <row r="228" spans="2:8" ht="15.6" hidden="1" x14ac:dyDescent="0.3">
      <c r="B228" s="174"/>
      <c r="C228" s="181"/>
      <c r="D228" s="181"/>
      <c r="E228" s="181"/>
      <c r="F228" s="175"/>
    </row>
    <row r="229" spans="2:8" ht="15.6" hidden="1" x14ac:dyDescent="0.3">
      <c r="B229" s="174"/>
      <c r="C229" s="211" t="s">
        <v>152</v>
      </c>
      <c r="D229" s="211"/>
      <c r="E229" s="211"/>
      <c r="F229" s="210">
        <f>F225+F227</f>
        <v>1500</v>
      </c>
      <c r="G229" s="7"/>
    </row>
    <row r="230" spans="2:8" ht="15.6" hidden="1" x14ac:dyDescent="0.3">
      <c r="B230" s="206">
        <v>42710</v>
      </c>
      <c r="C230" s="227" t="s">
        <v>153</v>
      </c>
      <c r="D230" s="227"/>
      <c r="E230" s="227"/>
      <c r="F230" s="152">
        <f>-1500</f>
        <v>-1500</v>
      </c>
      <c r="G230" s="7"/>
    </row>
    <row r="231" spans="2:8" ht="16.2" hidden="1" thickBot="1" x14ac:dyDescent="0.35">
      <c r="B231" s="395">
        <f>B188</f>
        <v>42735</v>
      </c>
      <c r="C231" s="396" t="str">
        <f>C188</f>
        <v>Saldo</v>
      </c>
      <c r="D231" s="396"/>
      <c r="E231" s="396"/>
      <c r="F231" s="209">
        <f>'project 2016'!F133</f>
        <v>0</v>
      </c>
      <c r="G231" s="504"/>
    </row>
    <row r="232" spans="2:8" ht="15.6" hidden="1" x14ac:dyDescent="0.3">
      <c r="B232" s="447">
        <v>42796</v>
      </c>
      <c r="C232" s="448" t="s">
        <v>375</v>
      </c>
      <c r="D232" s="448"/>
      <c r="E232" s="448"/>
      <c r="F232" s="449">
        <v>1500</v>
      </c>
      <c r="G232" s="155"/>
    </row>
    <row r="233" spans="2:8" ht="16.2" thickBot="1" x14ac:dyDescent="0.35">
      <c r="B233" s="395">
        <v>43100</v>
      </c>
      <c r="C233" s="396" t="s">
        <v>2</v>
      </c>
      <c r="D233" s="396"/>
      <c r="E233" s="396"/>
      <c r="F233" s="209">
        <v>1500</v>
      </c>
      <c r="G233" s="504"/>
      <c r="H233" s="116"/>
    </row>
    <row r="234" spans="2:8" ht="15.6" x14ac:dyDescent="0.3">
      <c r="B234" s="377"/>
      <c r="C234" s="415" t="s">
        <v>362</v>
      </c>
      <c r="D234" s="415"/>
      <c r="E234" s="415"/>
      <c r="F234" s="172"/>
      <c r="G234" s="504"/>
    </row>
    <row r="235" spans="2:8" ht="15.6" x14ac:dyDescent="0.3">
      <c r="B235" s="377">
        <v>43171</v>
      </c>
      <c r="C235" s="415" t="s">
        <v>372</v>
      </c>
      <c r="D235" s="415"/>
      <c r="E235" s="415"/>
      <c r="F235" s="172">
        <v>-1500</v>
      </c>
      <c r="G235" s="504"/>
      <c r="H235" s="7" t="s">
        <v>458</v>
      </c>
    </row>
    <row r="236" spans="2:8" ht="15.6" x14ac:dyDescent="0.3">
      <c r="B236" s="377">
        <v>43171</v>
      </c>
      <c r="C236" s="415" t="s">
        <v>373</v>
      </c>
      <c r="D236" s="415"/>
      <c r="E236" s="415"/>
      <c r="F236" s="172">
        <v>-1500</v>
      </c>
      <c r="G236" s="504"/>
      <c r="H236" s="7" t="s">
        <v>459</v>
      </c>
    </row>
    <row r="237" spans="2:8" ht="15.6" x14ac:dyDescent="0.3">
      <c r="B237" s="377"/>
      <c r="C237" s="415" t="s">
        <v>364</v>
      </c>
      <c r="D237" s="415"/>
      <c r="E237" s="415"/>
      <c r="F237" s="172">
        <f>SUM(F234:F236)</f>
        <v>-3000</v>
      </c>
      <c r="G237" s="504"/>
    </row>
    <row r="238" spans="2:8" ht="15.6" x14ac:dyDescent="0.3">
      <c r="B238" s="377"/>
      <c r="C238" s="415" t="s">
        <v>363</v>
      </c>
      <c r="D238" s="415"/>
      <c r="E238" s="415"/>
      <c r="F238" s="172"/>
      <c r="G238" s="504"/>
    </row>
    <row r="239" spans="2:8" ht="15.6" x14ac:dyDescent="0.3">
      <c r="B239" s="377">
        <v>43154</v>
      </c>
      <c r="C239" s="415" t="s">
        <v>369</v>
      </c>
      <c r="D239" s="415"/>
      <c r="E239" s="415"/>
      <c r="F239" s="172">
        <v>3000</v>
      </c>
      <c r="G239" s="504"/>
      <c r="H239" s="7" t="s">
        <v>376</v>
      </c>
    </row>
    <row r="240" spans="2:8" ht="8.25" customHeight="1" x14ac:dyDescent="0.3">
      <c r="B240" s="377"/>
      <c r="C240" s="415"/>
      <c r="D240" s="415"/>
      <c r="E240" s="415"/>
      <c r="F240" s="172"/>
      <c r="G240" s="504"/>
    </row>
    <row r="241" spans="1:8" ht="15.6" x14ac:dyDescent="0.3">
      <c r="B241" s="377"/>
      <c r="C241" s="415" t="s">
        <v>365</v>
      </c>
      <c r="D241" s="415"/>
      <c r="E241" s="415"/>
      <c r="F241" s="172">
        <f>SUM(F238:F240)</f>
        <v>3000</v>
      </c>
      <c r="G241" s="504"/>
    </row>
    <row r="242" spans="1:8" ht="15.6" x14ac:dyDescent="0.3">
      <c r="B242" s="507">
        <f>B2</f>
        <v>43465</v>
      </c>
      <c r="C242" s="508" t="s">
        <v>2</v>
      </c>
      <c r="D242" s="508"/>
      <c r="E242" s="508"/>
      <c r="F242" s="104">
        <f>F233+F237+F241</f>
        <v>1500</v>
      </c>
      <c r="G242" s="504"/>
    </row>
    <row r="243" spans="1:8" ht="16.2" thickBot="1" x14ac:dyDescent="0.35">
      <c r="B243" s="161"/>
      <c r="C243" s="143"/>
      <c r="D243" s="162"/>
      <c r="E243" s="162"/>
      <c r="F243" s="163"/>
    </row>
    <row r="244" spans="1:8" ht="13.8" thickBot="1" x14ac:dyDescent="0.3"/>
    <row r="245" spans="1:8" ht="15.6" x14ac:dyDescent="0.3">
      <c r="A245" s="95"/>
      <c r="B245" s="223" t="s">
        <v>93</v>
      </c>
      <c r="C245" s="182"/>
      <c r="D245" s="182"/>
      <c r="E245" s="393" t="s">
        <v>117</v>
      </c>
      <c r="F245" s="394"/>
    </row>
    <row r="246" spans="1:8" ht="4.5" customHeight="1" x14ac:dyDescent="0.3">
      <c r="B246" s="388"/>
      <c r="C246" s="115" t="s">
        <v>60</v>
      </c>
      <c r="D246" s="115"/>
      <c r="E246" s="115"/>
      <c r="F246" s="152">
        <v>0</v>
      </c>
    </row>
    <row r="247" spans="1:8" ht="15.6" hidden="1" x14ac:dyDescent="0.3">
      <c r="B247" s="384" t="s">
        <v>81</v>
      </c>
      <c r="C247" s="374"/>
      <c r="D247" s="155"/>
      <c r="E247" s="155"/>
      <c r="F247" s="177"/>
    </row>
    <row r="248" spans="1:8" ht="15.6" hidden="1" x14ac:dyDescent="0.3">
      <c r="B248" s="135">
        <v>42426</v>
      </c>
      <c r="C248" s="181" t="s">
        <v>94</v>
      </c>
      <c r="D248" s="181"/>
      <c r="E248" s="181"/>
      <c r="F248" s="175">
        <v>200</v>
      </c>
    </row>
    <row r="249" spans="1:8" ht="15.6" hidden="1" x14ac:dyDescent="0.3">
      <c r="B249" s="174"/>
      <c r="C249" s="181" t="s">
        <v>220</v>
      </c>
      <c r="D249" s="181"/>
      <c r="E249" s="181"/>
      <c r="F249" s="175">
        <f>'fin overz 31 dec 2016'!I24</f>
        <v>-151.34</v>
      </c>
    </row>
    <row r="250" spans="1:8" ht="15.6" hidden="1" x14ac:dyDescent="0.3">
      <c r="B250" s="105">
        <f>B231</f>
        <v>42735</v>
      </c>
      <c r="C250" s="227" t="str">
        <f>C231</f>
        <v>Saldo</v>
      </c>
      <c r="D250" s="227"/>
      <c r="E250" s="227"/>
      <c r="F250" s="152">
        <f>'project 2016'!F141</f>
        <v>48.66</v>
      </c>
      <c r="G250" s="503"/>
    </row>
    <row r="251" spans="1:8" ht="15.6" hidden="1" x14ac:dyDescent="0.3">
      <c r="B251" s="359"/>
      <c r="C251" s="211" t="s">
        <v>263</v>
      </c>
      <c r="D251" s="211"/>
      <c r="E251" s="211"/>
      <c r="F251" s="210">
        <v>0</v>
      </c>
      <c r="G251" s="7"/>
    </row>
    <row r="252" spans="1:8" ht="15.6" hidden="1" x14ac:dyDescent="0.3">
      <c r="B252" s="359"/>
      <c r="C252" s="211" t="s">
        <v>262</v>
      </c>
      <c r="D252" s="211"/>
      <c r="E252" s="211"/>
      <c r="F252" s="210">
        <v>0</v>
      </c>
      <c r="G252" s="7"/>
    </row>
    <row r="253" spans="1:8" ht="16.5" hidden="1" customHeight="1" x14ac:dyDescent="0.3">
      <c r="B253" s="359"/>
      <c r="C253" s="211"/>
      <c r="D253" s="211"/>
      <c r="E253" s="211"/>
      <c r="F253" s="210"/>
      <c r="G253" s="7"/>
    </row>
    <row r="254" spans="1:8" ht="15.6" x14ac:dyDescent="0.3">
      <c r="B254" s="105">
        <v>43100</v>
      </c>
      <c r="C254" s="227" t="s">
        <v>2</v>
      </c>
      <c r="D254" s="227"/>
      <c r="E254" s="227"/>
      <c r="F254" s="152">
        <f>F250+F251+F253</f>
        <v>48.66</v>
      </c>
      <c r="G254" s="504"/>
      <c r="H254" s="116">
        <f>F250</f>
        <v>48.66</v>
      </c>
    </row>
    <row r="255" spans="1:8" ht="15.6" x14ac:dyDescent="0.3">
      <c r="B255" s="377"/>
      <c r="C255" s="415" t="s">
        <v>362</v>
      </c>
      <c r="D255" s="415"/>
      <c r="E255" s="415"/>
      <c r="F255" s="172"/>
      <c r="G255" s="504"/>
    </row>
    <row r="256" spans="1:8" ht="15.6" x14ac:dyDescent="0.3">
      <c r="B256" s="377"/>
      <c r="C256" s="415" t="s">
        <v>364</v>
      </c>
      <c r="D256" s="415"/>
      <c r="E256" s="415"/>
      <c r="F256" s="172">
        <f>SUM(F255:F255)</f>
        <v>0</v>
      </c>
      <c r="G256" s="504"/>
    </row>
    <row r="257" spans="1:13" ht="15.6" x14ac:dyDescent="0.3">
      <c r="B257" s="377"/>
      <c r="C257" s="415" t="s">
        <v>363</v>
      </c>
      <c r="D257" s="415"/>
      <c r="E257" s="415"/>
      <c r="F257" s="172"/>
      <c r="G257" s="504"/>
    </row>
    <row r="258" spans="1:13" ht="16.2" thickBot="1" x14ac:dyDescent="0.35">
      <c r="B258" s="377"/>
      <c r="C258" s="415" t="s">
        <v>365</v>
      </c>
      <c r="D258" s="415"/>
      <c r="E258" s="415"/>
      <c r="F258" s="172">
        <f>SUM(F257:F257)</f>
        <v>0</v>
      </c>
      <c r="G258" s="504"/>
    </row>
    <row r="259" spans="1:13" ht="16.2" thickBot="1" x14ac:dyDescent="0.35">
      <c r="B259" s="511">
        <f>B2</f>
        <v>43465</v>
      </c>
      <c r="C259" s="512" t="s">
        <v>2</v>
      </c>
      <c r="D259" s="512"/>
      <c r="E259" s="512"/>
      <c r="F259" s="513">
        <f>F254+F256+F258</f>
        <v>48.66</v>
      </c>
    </row>
    <row r="260" spans="1:13" ht="16.2" thickBot="1" x14ac:dyDescent="0.35">
      <c r="B260" s="9"/>
      <c r="C260" s="9"/>
      <c r="D260" s="9"/>
      <c r="E260" s="9"/>
      <c r="F260" s="10"/>
    </row>
    <row r="261" spans="1:13" ht="15.6" x14ac:dyDescent="0.3">
      <c r="A261" s="95"/>
      <c r="B261" s="514"/>
      <c r="C261" s="156"/>
      <c r="D261" s="157"/>
      <c r="E261" s="157" t="s">
        <v>366</v>
      </c>
      <c r="F261" s="158"/>
    </row>
    <row r="262" spans="1:13" ht="15.6" x14ac:dyDescent="0.3">
      <c r="B262" s="388"/>
      <c r="C262" s="115" t="s">
        <v>60</v>
      </c>
      <c r="D262" s="115"/>
      <c r="E262" s="115"/>
      <c r="F262" s="152">
        <v>0</v>
      </c>
    </row>
    <row r="263" spans="1:13" ht="4.5" customHeight="1" x14ac:dyDescent="0.3">
      <c r="B263" s="384" t="s">
        <v>81</v>
      </c>
      <c r="C263" s="374"/>
      <c r="D263" s="155"/>
      <c r="E263" s="155"/>
      <c r="F263" s="177"/>
    </row>
    <row r="264" spans="1:13" ht="15.6" hidden="1" x14ac:dyDescent="0.3">
      <c r="B264" s="135">
        <v>42493</v>
      </c>
      <c r="C264" s="181" t="s">
        <v>92</v>
      </c>
      <c r="D264" s="181"/>
      <c r="E264" s="181"/>
      <c r="F264" s="175">
        <v>300</v>
      </c>
    </row>
    <row r="265" spans="1:13" ht="15.6" hidden="1" x14ac:dyDescent="0.3">
      <c r="B265" s="174"/>
      <c r="C265" s="181"/>
      <c r="D265" s="181"/>
      <c r="E265" s="181"/>
      <c r="F265" s="175"/>
    </row>
    <row r="266" spans="1:13" ht="15.6" hidden="1" x14ac:dyDescent="0.3">
      <c r="B266" s="174"/>
      <c r="C266" s="211" t="s">
        <v>150</v>
      </c>
      <c r="D266" s="211"/>
      <c r="E266" s="211"/>
      <c r="F266" s="210">
        <f>F262+F264</f>
        <v>300</v>
      </c>
      <c r="G266" s="7"/>
    </row>
    <row r="267" spans="1:13" ht="15.6" hidden="1" x14ac:dyDescent="0.3">
      <c r="B267" s="206">
        <v>42710</v>
      </c>
      <c r="C267" s="227" t="s">
        <v>154</v>
      </c>
      <c r="D267" s="227"/>
      <c r="E267" s="227"/>
      <c r="F267" s="152">
        <v>-300.01</v>
      </c>
      <c r="G267" s="7"/>
    </row>
    <row r="268" spans="1:13" ht="15.6" hidden="1" x14ac:dyDescent="0.3">
      <c r="B268" s="359">
        <v>42734</v>
      </c>
      <c r="C268" s="211" t="str">
        <f>C250</f>
        <v>Saldo</v>
      </c>
      <c r="D268" s="211"/>
      <c r="E268" s="211"/>
      <c r="F268" s="210">
        <f>F266+F267</f>
        <v>-9.9999999999909051E-3</v>
      </c>
      <c r="H268" s="348"/>
      <c r="I268" s="116"/>
      <c r="J268" s="116"/>
      <c r="K268" s="116"/>
      <c r="L268" s="116"/>
      <c r="M268" s="116"/>
    </row>
    <row r="269" spans="1:13" ht="15.6" hidden="1" x14ac:dyDescent="0.3">
      <c r="B269" s="400"/>
      <c r="C269" s="180" t="s">
        <v>240</v>
      </c>
      <c r="D269" s="180"/>
      <c r="E269" s="180"/>
      <c r="F269" s="175">
        <f>-F268</f>
        <v>9.9999999999909051E-3</v>
      </c>
      <c r="G269" s="95"/>
      <c r="H269" s="348" t="s">
        <v>332</v>
      </c>
      <c r="I269" s="116"/>
      <c r="J269" s="116"/>
      <c r="K269" s="116"/>
      <c r="L269" s="116"/>
      <c r="M269" s="116"/>
    </row>
    <row r="270" spans="1:13" ht="15.6" hidden="1" x14ac:dyDescent="0.3">
      <c r="B270" s="359">
        <v>43100</v>
      </c>
      <c r="C270" s="211" t="s">
        <v>239</v>
      </c>
      <c r="D270" s="211"/>
      <c r="E270" s="211"/>
      <c r="F270" s="210">
        <f>F268+F269</f>
        <v>0</v>
      </c>
      <c r="H270" s="348"/>
      <c r="I270" s="116"/>
      <c r="J270" s="116"/>
      <c r="K270" s="116"/>
      <c r="L270" s="116"/>
      <c r="M270" s="116"/>
    </row>
    <row r="271" spans="1:13" ht="16.2" thickBot="1" x14ac:dyDescent="0.35">
      <c r="B271" s="142"/>
      <c r="C271" s="588" t="s">
        <v>423</v>
      </c>
      <c r="D271" s="588"/>
      <c r="E271" s="588"/>
      <c r="F271" s="178"/>
      <c r="H271" s="348"/>
      <c r="I271" s="116"/>
      <c r="J271" s="116"/>
      <c r="K271" s="7"/>
      <c r="L271" s="116"/>
      <c r="M271" s="116"/>
    </row>
    <row r="272" spans="1:13" ht="13.8" thickBot="1" x14ac:dyDescent="0.3">
      <c r="H272" s="348"/>
      <c r="I272" s="116"/>
      <c r="J272" s="116"/>
      <c r="K272" s="116"/>
      <c r="L272" s="116"/>
      <c r="M272" s="116"/>
    </row>
    <row r="273" spans="2:14" ht="15.6" x14ac:dyDescent="0.3">
      <c r="B273" s="223" t="s">
        <v>122</v>
      </c>
      <c r="C273" s="182"/>
      <c r="D273" s="182"/>
      <c r="E273" s="397" t="s">
        <v>119</v>
      </c>
      <c r="F273" s="394"/>
      <c r="H273" s="348"/>
      <c r="I273" s="116"/>
      <c r="J273" s="116"/>
      <c r="K273" s="204"/>
      <c r="L273" s="204"/>
      <c r="M273" s="204"/>
      <c r="N273" s="204"/>
    </row>
    <row r="274" spans="2:14" ht="3.75" customHeight="1" x14ac:dyDescent="0.3">
      <c r="B274" s="388"/>
      <c r="C274" s="115" t="s">
        <v>60</v>
      </c>
      <c r="D274" s="115"/>
      <c r="E274" s="115"/>
      <c r="F274" s="152">
        <v>0</v>
      </c>
      <c r="H274" s="348"/>
      <c r="I274" s="116"/>
      <c r="J274" s="116"/>
      <c r="K274" s="204"/>
      <c r="L274" s="204"/>
      <c r="M274" s="204"/>
      <c r="N274" s="204"/>
    </row>
    <row r="275" spans="2:14" ht="15.6" hidden="1" x14ac:dyDescent="0.3">
      <c r="B275" s="384" t="s">
        <v>81</v>
      </c>
      <c r="C275" s="374"/>
      <c r="D275" s="155"/>
      <c r="E275" s="155"/>
      <c r="F275" s="177"/>
      <c r="K275" s="204"/>
      <c r="L275" s="204"/>
      <c r="M275" s="204"/>
      <c r="N275" s="204"/>
    </row>
    <row r="276" spans="2:14" ht="15.6" hidden="1" x14ac:dyDescent="0.3">
      <c r="B276" s="174"/>
      <c r="C276" s="181" t="s">
        <v>209</v>
      </c>
      <c r="D276" s="181"/>
      <c r="E276" s="375"/>
      <c r="F276" s="175">
        <v>10000</v>
      </c>
      <c r="K276" s="204"/>
      <c r="L276" s="204"/>
      <c r="M276" s="204"/>
      <c r="N276" s="204"/>
    </row>
    <row r="277" spans="2:14" ht="3.75" customHeight="1" x14ac:dyDescent="0.3">
      <c r="B277" s="174"/>
      <c r="C277" s="181"/>
      <c r="D277" s="181"/>
      <c r="E277" s="200"/>
      <c r="F277" s="175"/>
      <c r="K277" s="204"/>
      <c r="L277" s="204"/>
      <c r="M277" s="204"/>
      <c r="N277" s="204"/>
    </row>
    <row r="278" spans="2:14" ht="15.6" hidden="1" x14ac:dyDescent="0.3">
      <c r="B278" s="174"/>
      <c r="C278" s="181" t="s">
        <v>101</v>
      </c>
      <c r="D278" s="181"/>
      <c r="E278" s="200"/>
      <c r="F278" s="175">
        <v>0</v>
      </c>
      <c r="K278" s="204"/>
      <c r="L278" s="204"/>
      <c r="M278" s="204"/>
      <c r="N278" s="204"/>
    </row>
    <row r="279" spans="2:14" ht="15.6" hidden="1" x14ac:dyDescent="0.3">
      <c r="B279" s="359">
        <f>B268</f>
        <v>42734</v>
      </c>
      <c r="C279" s="211" t="str">
        <f>C268</f>
        <v>Saldo</v>
      </c>
      <c r="D279" s="211"/>
      <c r="E279" s="211"/>
      <c r="F279" s="210">
        <f>'project 2016'!F162</f>
        <v>10000</v>
      </c>
      <c r="G279" s="7"/>
      <c r="K279" s="204"/>
      <c r="L279" s="204"/>
      <c r="M279" s="204"/>
      <c r="N279" s="204"/>
    </row>
    <row r="280" spans="2:14" ht="15.6" hidden="1" x14ac:dyDescent="0.3">
      <c r="B280" s="400" t="s">
        <v>175</v>
      </c>
      <c r="C280" s="180"/>
      <c r="D280" s="180"/>
      <c r="E280" s="180"/>
      <c r="F280" s="175"/>
      <c r="G280" s="7"/>
      <c r="K280" s="204"/>
      <c r="L280" s="204"/>
      <c r="M280" s="204"/>
      <c r="N280" s="204"/>
    </row>
    <row r="281" spans="2:14" ht="15.6" hidden="1" x14ac:dyDescent="0.3">
      <c r="B281" s="400">
        <v>42784</v>
      </c>
      <c r="C281" s="180" t="s">
        <v>229</v>
      </c>
      <c r="D281" s="180"/>
      <c r="E281" s="180"/>
      <c r="F281" s="175">
        <v>250</v>
      </c>
      <c r="G281" s="107"/>
      <c r="H281" t="s">
        <v>330</v>
      </c>
      <c r="K281" s="204"/>
      <c r="L281" s="204"/>
      <c r="M281" s="204"/>
      <c r="N281" s="204"/>
    </row>
    <row r="282" spans="2:14" ht="15.6" hidden="1" x14ac:dyDescent="0.3">
      <c r="B282" s="400">
        <v>42769</v>
      </c>
      <c r="C282" s="180" t="s">
        <v>249</v>
      </c>
      <c r="D282" s="180"/>
      <c r="E282" s="180"/>
      <c r="F282" s="175">
        <v>62.5</v>
      </c>
      <c r="G282" s="107"/>
      <c r="H282" t="s">
        <v>330</v>
      </c>
      <c r="K282" s="204"/>
      <c r="L282" s="204"/>
      <c r="M282" s="204"/>
      <c r="N282" s="204"/>
    </row>
    <row r="283" spans="2:14" ht="15.6" hidden="1" x14ac:dyDescent="0.3">
      <c r="B283" s="400">
        <v>42787</v>
      </c>
      <c r="C283" s="180" t="s">
        <v>233</v>
      </c>
      <c r="D283" s="180"/>
      <c r="E283" s="180"/>
      <c r="F283" s="175">
        <f>-F133</f>
        <v>1884</v>
      </c>
      <c r="G283" s="107"/>
      <c r="H283" t="s">
        <v>334</v>
      </c>
      <c r="K283" s="204"/>
      <c r="L283" s="204"/>
      <c r="M283" s="204"/>
      <c r="N283" s="204"/>
    </row>
    <row r="284" spans="2:14" ht="15.6" hidden="1" x14ac:dyDescent="0.3">
      <c r="B284" s="400">
        <v>42787</v>
      </c>
      <c r="C284" s="180" t="s">
        <v>281</v>
      </c>
      <c r="D284" s="211"/>
      <c r="E284" s="180"/>
      <c r="F284" s="175">
        <v>500</v>
      </c>
      <c r="G284" s="107"/>
      <c r="H284" t="s">
        <v>330</v>
      </c>
      <c r="K284" s="204"/>
      <c r="L284" s="204"/>
      <c r="M284" s="204"/>
      <c r="N284" s="204"/>
    </row>
    <row r="285" spans="2:14" ht="15.6" hidden="1" x14ac:dyDescent="0.3">
      <c r="B285" s="400">
        <v>42796</v>
      </c>
      <c r="C285" s="180" t="s">
        <v>248</v>
      </c>
      <c r="D285" s="180"/>
      <c r="E285" s="180"/>
      <c r="F285" s="175">
        <v>500</v>
      </c>
      <c r="G285" s="107"/>
      <c r="H285" t="s">
        <v>330</v>
      </c>
      <c r="K285" s="204"/>
      <c r="L285" s="204"/>
      <c r="M285" s="204"/>
      <c r="N285" s="204"/>
    </row>
    <row r="286" spans="2:14" ht="15.6" hidden="1" x14ac:dyDescent="0.3">
      <c r="B286" s="400">
        <v>42922</v>
      </c>
      <c r="C286" s="180" t="s">
        <v>259</v>
      </c>
      <c r="D286" s="180"/>
      <c r="E286" s="180"/>
      <c r="F286" s="175">
        <v>600</v>
      </c>
      <c r="G286" s="107"/>
      <c r="H286" t="s">
        <v>330</v>
      </c>
      <c r="K286" s="204"/>
      <c r="L286" s="204"/>
      <c r="M286" s="204"/>
      <c r="N286" s="204"/>
    </row>
    <row r="287" spans="2:14" ht="15.6" hidden="1" x14ac:dyDescent="0.3">
      <c r="B287" s="400">
        <v>42934</v>
      </c>
      <c r="C287" s="180" t="s">
        <v>260</v>
      </c>
      <c r="D287" s="180"/>
      <c r="E287" s="180"/>
      <c r="F287" s="175">
        <v>450</v>
      </c>
      <c r="G287" s="107"/>
      <c r="H287" t="s">
        <v>330</v>
      </c>
      <c r="I287" s="7" t="s">
        <v>346</v>
      </c>
      <c r="K287" s="204"/>
      <c r="L287" s="204"/>
      <c r="M287" s="204"/>
      <c r="N287" s="204"/>
    </row>
    <row r="288" spans="2:14" ht="15.6" hidden="1" x14ac:dyDescent="0.3">
      <c r="B288" s="400">
        <v>42940</v>
      </c>
      <c r="C288" s="180" t="s">
        <v>258</v>
      </c>
      <c r="D288" s="180"/>
      <c r="E288" s="180"/>
      <c r="F288" s="175">
        <v>500</v>
      </c>
      <c r="G288" s="107"/>
      <c r="H288" t="s">
        <v>330</v>
      </c>
      <c r="K288" s="204"/>
      <c r="L288" s="204"/>
      <c r="M288" s="204"/>
      <c r="N288" s="204"/>
    </row>
    <row r="289" spans="2:14" ht="22.8" hidden="1" x14ac:dyDescent="0.4">
      <c r="B289" s="400">
        <v>42986</v>
      </c>
      <c r="C289" s="180" t="s">
        <v>347</v>
      </c>
      <c r="D289" s="180"/>
      <c r="E289" s="180"/>
      <c r="F289" s="175">
        <v>2.4300000000000002</v>
      </c>
      <c r="G289" s="107"/>
      <c r="H289" t="s">
        <v>330</v>
      </c>
      <c r="I289" s="505" t="s">
        <v>343</v>
      </c>
      <c r="J289" s="505" t="s">
        <v>344</v>
      </c>
      <c r="K289" s="204"/>
      <c r="L289" s="204"/>
      <c r="M289" s="204"/>
      <c r="N289" s="204"/>
    </row>
    <row r="290" spans="2:14" ht="22.8" hidden="1" x14ac:dyDescent="0.4">
      <c r="B290" s="400">
        <v>42998</v>
      </c>
      <c r="C290" s="180" t="s">
        <v>347</v>
      </c>
      <c r="D290" s="180"/>
      <c r="E290" s="180"/>
      <c r="F290" s="175">
        <v>58.35</v>
      </c>
      <c r="G290" s="107"/>
      <c r="H290" t="s">
        <v>330</v>
      </c>
      <c r="I290" s="505" t="s">
        <v>343</v>
      </c>
      <c r="J290" s="505" t="s">
        <v>345</v>
      </c>
      <c r="K290" s="204"/>
      <c r="L290" s="204"/>
      <c r="M290" s="204"/>
      <c r="N290" s="204"/>
    </row>
    <row r="291" spans="2:14" ht="15.6" hidden="1" x14ac:dyDescent="0.3">
      <c r="B291" s="400">
        <v>43098</v>
      </c>
      <c r="C291" s="180" t="s">
        <v>288</v>
      </c>
      <c r="D291" s="180"/>
      <c r="E291" s="180"/>
      <c r="F291" s="175">
        <v>5175</v>
      </c>
      <c r="G291" s="107"/>
      <c r="H291" t="s">
        <v>330</v>
      </c>
      <c r="J291">
        <f>2.43+58.35</f>
        <v>60.78</v>
      </c>
      <c r="K291" s="204"/>
      <c r="L291" s="204"/>
      <c r="M291" s="204"/>
      <c r="N291" s="204"/>
    </row>
    <row r="292" spans="2:14" ht="15.6" hidden="1" x14ac:dyDescent="0.3">
      <c r="B292" s="359" t="s">
        <v>268</v>
      </c>
      <c r="C292" s="211"/>
      <c r="D292" s="211"/>
      <c r="E292" s="211"/>
      <c r="F292" s="210">
        <f>SUM(F281:F291)</f>
        <v>9982.2800000000007</v>
      </c>
      <c r="G292" s="7"/>
      <c r="K292" s="204"/>
      <c r="L292" s="204"/>
      <c r="M292" s="204"/>
      <c r="N292" s="204"/>
    </row>
    <row r="293" spans="2:14" ht="15.6" hidden="1" x14ac:dyDescent="0.3">
      <c r="B293" s="359" t="s">
        <v>219</v>
      </c>
      <c r="C293" s="211"/>
      <c r="D293" s="211"/>
      <c r="E293" s="211"/>
      <c r="F293" s="210">
        <f>F279+F292</f>
        <v>19982.28</v>
      </c>
      <c r="G293" s="7"/>
      <c r="K293" s="204"/>
      <c r="L293" s="204"/>
      <c r="M293" s="204"/>
      <c r="N293" s="204"/>
    </row>
    <row r="294" spans="2:14" ht="15.6" hidden="1" x14ac:dyDescent="0.3">
      <c r="B294" s="400" t="s">
        <v>176</v>
      </c>
      <c r="C294" s="180"/>
      <c r="D294" s="180"/>
      <c r="E294" s="180"/>
      <c r="F294" s="175"/>
      <c r="G294" s="7"/>
      <c r="K294" s="204"/>
      <c r="L294" s="204"/>
      <c r="M294" s="204"/>
      <c r="N294" s="204"/>
    </row>
    <row r="295" spans="2:14" ht="12.75" hidden="1" customHeight="1" x14ac:dyDescent="0.3">
      <c r="B295" s="400">
        <v>42839</v>
      </c>
      <c r="C295" s="180" t="s">
        <v>245</v>
      </c>
      <c r="D295" s="180"/>
      <c r="E295" s="180"/>
      <c r="F295" s="175">
        <v>-11.97</v>
      </c>
      <c r="G295" s="107"/>
      <c r="H295" s="226" t="s">
        <v>351</v>
      </c>
      <c r="I295" s="107" t="s">
        <v>356</v>
      </c>
      <c r="J295" t="s">
        <v>358</v>
      </c>
      <c r="K295" s="204"/>
      <c r="L295" s="204"/>
      <c r="M295" s="204"/>
      <c r="N295" s="204"/>
    </row>
    <row r="296" spans="2:14" ht="15.6" hidden="1" x14ac:dyDescent="0.3">
      <c r="B296" s="400">
        <v>42839</v>
      </c>
      <c r="C296" s="180" t="s">
        <v>246</v>
      </c>
      <c r="D296" s="180"/>
      <c r="E296" s="180"/>
      <c r="F296" s="175">
        <v>-124.06</v>
      </c>
      <c r="G296" s="107"/>
      <c r="H296" s="226" t="s">
        <v>351</v>
      </c>
      <c r="I296" s="107" t="s">
        <v>359</v>
      </c>
      <c r="J296" t="s">
        <v>357</v>
      </c>
      <c r="K296" s="204"/>
      <c r="L296" s="204"/>
      <c r="M296" s="204"/>
      <c r="N296" s="204"/>
    </row>
    <row r="297" spans="2:14" ht="15.6" hidden="1" x14ac:dyDescent="0.3">
      <c r="B297" s="400">
        <v>42840</v>
      </c>
      <c r="C297" s="180" t="s">
        <v>247</v>
      </c>
      <c r="D297" s="180"/>
      <c r="E297" s="180"/>
      <c r="F297" s="175">
        <v>-231.8</v>
      </c>
      <c r="G297" s="107"/>
      <c r="H297" s="226" t="s">
        <v>351</v>
      </c>
      <c r="I297" s="107" t="s">
        <v>357</v>
      </c>
      <c r="J297" t="s">
        <v>357</v>
      </c>
      <c r="K297" s="204"/>
      <c r="L297" s="204"/>
      <c r="M297" s="204"/>
      <c r="N297" s="204"/>
    </row>
    <row r="298" spans="2:14" ht="15.6" hidden="1" x14ac:dyDescent="0.3">
      <c r="B298" s="400">
        <v>42874</v>
      </c>
      <c r="C298" s="180" t="s">
        <v>250</v>
      </c>
      <c r="D298" s="180"/>
      <c r="E298" s="180"/>
      <c r="F298" s="175">
        <v>-2650</v>
      </c>
      <c r="G298" s="107"/>
      <c r="H298" s="7" t="s">
        <v>339</v>
      </c>
      <c r="K298" s="204"/>
      <c r="L298" s="204"/>
      <c r="M298" s="204"/>
      <c r="N298" s="204"/>
    </row>
    <row r="299" spans="2:14" ht="15.6" hidden="1" x14ac:dyDescent="0.3">
      <c r="B299" s="400">
        <v>42874</v>
      </c>
      <c r="C299" s="180" t="s">
        <v>251</v>
      </c>
      <c r="D299" s="180"/>
      <c r="E299" s="180"/>
      <c r="F299" s="175">
        <v>-250</v>
      </c>
      <c r="G299" s="107"/>
      <c r="H299" s="7" t="s">
        <v>340</v>
      </c>
      <c r="K299" s="204"/>
      <c r="L299" s="204"/>
      <c r="M299" s="204"/>
      <c r="N299" s="204"/>
    </row>
    <row r="300" spans="2:14" ht="15.6" hidden="1" x14ac:dyDescent="0.3">
      <c r="B300" s="400">
        <v>42912</v>
      </c>
      <c r="C300" s="180" t="s">
        <v>255</v>
      </c>
      <c r="D300" s="180"/>
      <c r="E300" s="180"/>
      <c r="F300" s="175">
        <v>-1280.19</v>
      </c>
      <c r="G300" s="107"/>
      <c r="H300" s="7" t="s">
        <v>340</v>
      </c>
      <c r="K300" s="106"/>
      <c r="L300" s="204"/>
    </row>
    <row r="301" spans="2:14" ht="15.6" hidden="1" x14ac:dyDescent="0.3">
      <c r="B301" s="400">
        <v>42912</v>
      </c>
      <c r="C301" s="180" t="s">
        <v>250</v>
      </c>
      <c r="D301" s="180"/>
      <c r="E301" s="180"/>
      <c r="F301" s="175">
        <v>-5300</v>
      </c>
      <c r="G301" s="107"/>
      <c r="H301" s="7" t="s">
        <v>340</v>
      </c>
      <c r="K301" s="204"/>
      <c r="L301" s="204"/>
      <c r="M301" s="204"/>
      <c r="N301" s="204"/>
    </row>
    <row r="302" spans="2:14" ht="15.6" hidden="1" x14ac:dyDescent="0.3">
      <c r="B302" s="400">
        <v>42928</v>
      </c>
      <c r="C302" s="180" t="s">
        <v>261</v>
      </c>
      <c r="D302" s="180"/>
      <c r="E302" s="180"/>
      <c r="F302" s="175">
        <v>-2650</v>
      </c>
      <c r="G302" s="107"/>
      <c r="H302" s="226" t="s">
        <v>351</v>
      </c>
      <c r="I302" s="107" t="s">
        <v>355</v>
      </c>
      <c r="K302" s="106"/>
      <c r="L302" s="204"/>
    </row>
    <row r="303" spans="2:14" ht="15.6" hidden="1" x14ac:dyDescent="0.3">
      <c r="B303" s="400">
        <v>42997</v>
      </c>
      <c r="C303" s="180" t="s">
        <v>270</v>
      </c>
      <c r="D303" s="180"/>
      <c r="E303" s="180"/>
      <c r="F303" s="175">
        <v>-368</v>
      </c>
      <c r="G303" s="107"/>
      <c r="H303" t="s">
        <v>340</v>
      </c>
      <c r="K303" s="204"/>
      <c r="L303" s="204"/>
      <c r="M303" s="204"/>
      <c r="N303" s="204"/>
    </row>
    <row r="304" spans="2:14" ht="15.6" hidden="1" x14ac:dyDescent="0.3">
      <c r="B304" s="400">
        <v>42997</v>
      </c>
      <c r="C304" s="180" t="s">
        <v>269</v>
      </c>
      <c r="D304" s="180"/>
      <c r="E304" s="180"/>
      <c r="F304" s="175">
        <v>-187.5</v>
      </c>
      <c r="G304" s="107"/>
      <c r="H304" t="s">
        <v>340</v>
      </c>
      <c r="K304" s="204"/>
      <c r="L304" s="204"/>
    </row>
    <row r="305" spans="2:14" ht="15.6" hidden="1" x14ac:dyDescent="0.3">
      <c r="B305" s="400">
        <v>43024</v>
      </c>
      <c r="C305" s="180" t="s">
        <v>271</v>
      </c>
      <c r="D305" s="180"/>
      <c r="E305" s="180"/>
      <c r="F305" s="175">
        <v>-163.35</v>
      </c>
      <c r="G305" s="107"/>
      <c r="H305" t="s">
        <v>340</v>
      </c>
      <c r="K305" s="106"/>
      <c r="L305" s="204"/>
    </row>
    <row r="306" spans="2:14" ht="15.6" hidden="1" x14ac:dyDescent="0.3">
      <c r="B306" s="400">
        <v>43024</v>
      </c>
      <c r="C306" s="180" t="s">
        <v>272</v>
      </c>
      <c r="D306" s="180"/>
      <c r="E306" s="180"/>
      <c r="F306" s="175">
        <v>-136</v>
      </c>
      <c r="G306" s="107"/>
      <c r="H306" t="s">
        <v>340</v>
      </c>
      <c r="K306" s="106"/>
      <c r="L306" s="204"/>
    </row>
    <row r="307" spans="2:14" ht="15.6" hidden="1" x14ac:dyDescent="0.3">
      <c r="B307" s="400">
        <v>43024</v>
      </c>
      <c r="C307" s="180" t="s">
        <v>273</v>
      </c>
      <c r="D307" s="180"/>
      <c r="E307" s="180"/>
      <c r="F307" s="175">
        <v>-31.57</v>
      </c>
      <c r="G307" s="107"/>
      <c r="H307" t="s">
        <v>340</v>
      </c>
      <c r="K307" s="106"/>
      <c r="L307" s="204"/>
    </row>
    <row r="308" spans="2:14" ht="15.6" hidden="1" x14ac:dyDescent="0.3">
      <c r="B308" s="400">
        <v>43024</v>
      </c>
      <c r="C308" s="180" t="s">
        <v>276</v>
      </c>
      <c r="D308" s="180"/>
      <c r="E308" s="180"/>
      <c r="F308" s="175">
        <v>-544.5</v>
      </c>
      <c r="G308" s="107"/>
      <c r="H308" t="s">
        <v>340</v>
      </c>
      <c r="K308" s="106"/>
      <c r="L308" s="204"/>
    </row>
    <row r="309" spans="2:14" ht="15.6" hidden="1" x14ac:dyDescent="0.3">
      <c r="B309" s="400">
        <v>43024</v>
      </c>
      <c r="C309" s="180" t="s">
        <v>277</v>
      </c>
      <c r="D309" s="180"/>
      <c r="E309" s="180"/>
      <c r="F309" s="175">
        <v>-70.45</v>
      </c>
      <c r="G309" s="107"/>
      <c r="H309" t="s">
        <v>340</v>
      </c>
      <c r="K309" s="204"/>
      <c r="L309" s="204"/>
      <c r="M309" s="204"/>
      <c r="N309" s="204"/>
    </row>
    <row r="310" spans="2:14" ht="15.6" hidden="1" x14ac:dyDescent="0.3">
      <c r="B310" s="400">
        <v>43024</v>
      </c>
      <c r="C310" s="180" t="s">
        <v>278</v>
      </c>
      <c r="D310" s="180"/>
      <c r="E310" s="180"/>
      <c r="F310" s="175">
        <v>-149.74</v>
      </c>
      <c r="G310" s="107"/>
      <c r="H310" t="s">
        <v>340</v>
      </c>
      <c r="K310" s="204"/>
      <c r="L310" s="204"/>
      <c r="M310" s="204"/>
      <c r="N310" s="204"/>
    </row>
    <row r="311" spans="2:14" ht="15.6" hidden="1" x14ac:dyDescent="0.3">
      <c r="B311" s="400">
        <v>43024</v>
      </c>
      <c r="C311" s="180" t="s">
        <v>279</v>
      </c>
      <c r="D311" s="180"/>
      <c r="E311" s="180"/>
      <c r="F311" s="175">
        <v>-93.7</v>
      </c>
      <c r="G311" s="107"/>
      <c r="H311" t="s">
        <v>340</v>
      </c>
      <c r="K311" s="64"/>
      <c r="L311" s="64"/>
      <c r="M311" s="64"/>
      <c r="N311" s="534"/>
    </row>
    <row r="312" spans="2:14" ht="15.6" hidden="1" x14ac:dyDescent="0.3">
      <c r="B312" s="400">
        <v>43038</v>
      </c>
      <c r="C312" s="180" t="s">
        <v>280</v>
      </c>
      <c r="D312" s="180"/>
      <c r="E312" s="180"/>
      <c r="F312" s="175">
        <v>-91</v>
      </c>
      <c r="G312" s="107"/>
      <c r="H312" t="s">
        <v>340</v>
      </c>
      <c r="K312" s="202"/>
      <c r="L312" s="202"/>
      <c r="M312" s="202"/>
      <c r="N312" s="202"/>
    </row>
    <row r="313" spans="2:14" ht="15.6" hidden="1" x14ac:dyDescent="0.3">
      <c r="B313" s="400">
        <v>43058</v>
      </c>
      <c r="C313" s="180" t="s">
        <v>251</v>
      </c>
      <c r="D313" s="180"/>
      <c r="E313" s="180"/>
      <c r="F313" s="175">
        <v>-250</v>
      </c>
      <c r="G313" s="107"/>
      <c r="H313" s="168" t="s">
        <v>351</v>
      </c>
      <c r="I313" s="107" t="s">
        <v>355</v>
      </c>
      <c r="K313" s="417"/>
      <c r="L313" s="417"/>
    </row>
    <row r="314" spans="2:14" ht="15.6" hidden="1" x14ac:dyDescent="0.3">
      <c r="B314" s="400">
        <v>43064</v>
      </c>
      <c r="C314" s="180" t="s">
        <v>283</v>
      </c>
      <c r="D314" s="180"/>
      <c r="E314" s="180"/>
      <c r="F314" s="175">
        <v>-57.62</v>
      </c>
      <c r="G314" s="107"/>
      <c r="H314" s="168" t="s">
        <v>351</v>
      </c>
      <c r="I314" s="107" t="s">
        <v>355</v>
      </c>
      <c r="J314" s="95"/>
      <c r="L314" s="203"/>
      <c r="M314" s="203"/>
      <c r="N314" s="535"/>
    </row>
    <row r="315" spans="2:14" ht="15.6" hidden="1" x14ac:dyDescent="0.3">
      <c r="B315" s="400">
        <v>43076</v>
      </c>
      <c r="C315" s="180" t="s">
        <v>284</v>
      </c>
      <c r="D315" s="180"/>
      <c r="E315" s="180"/>
      <c r="F315" s="175">
        <v>-1454.75</v>
      </c>
      <c r="G315" s="107"/>
      <c r="H315" s="168" t="s">
        <v>351</v>
      </c>
      <c r="I315" s="107" t="s">
        <v>355</v>
      </c>
      <c r="L315" s="203"/>
      <c r="M315" s="203"/>
      <c r="N315" s="202"/>
    </row>
    <row r="316" spans="2:14" ht="15.6" hidden="1" x14ac:dyDescent="0.3">
      <c r="B316" s="400">
        <v>43081</v>
      </c>
      <c r="C316" s="180" t="s">
        <v>286</v>
      </c>
      <c r="D316" s="180"/>
      <c r="E316" s="180"/>
      <c r="F316" s="175">
        <v>-2375</v>
      </c>
      <c r="G316" s="107"/>
      <c r="H316" s="168" t="s">
        <v>351</v>
      </c>
      <c r="I316" s="107" t="s">
        <v>355</v>
      </c>
      <c r="L316" s="203"/>
      <c r="M316" s="203"/>
      <c r="N316" s="202"/>
    </row>
    <row r="317" spans="2:14" ht="15.6" hidden="1" x14ac:dyDescent="0.3">
      <c r="B317" s="400">
        <v>43082</v>
      </c>
      <c r="C317" s="180" t="s">
        <v>287</v>
      </c>
      <c r="D317" s="180"/>
      <c r="E317" s="180"/>
      <c r="F317" s="175">
        <v>-134.75</v>
      </c>
      <c r="G317" s="107"/>
      <c r="H317" s="168" t="s">
        <v>351</v>
      </c>
      <c r="I317" s="107" t="s">
        <v>355</v>
      </c>
      <c r="K317" s="204"/>
      <c r="L317" s="204"/>
      <c r="M317" s="204"/>
      <c r="N317" s="204"/>
    </row>
    <row r="318" spans="2:14" ht="15.6" hidden="1" x14ac:dyDescent="0.3">
      <c r="B318" s="400"/>
      <c r="C318" s="180"/>
      <c r="D318" s="180"/>
      <c r="E318" s="180"/>
      <c r="F318" s="175"/>
      <c r="G318" s="7"/>
      <c r="K318" s="204"/>
      <c r="L318" s="204"/>
      <c r="M318" s="204"/>
      <c r="N318" s="204"/>
    </row>
    <row r="319" spans="2:14" ht="15.6" hidden="1" x14ac:dyDescent="0.3">
      <c r="B319" s="359" t="s">
        <v>307</v>
      </c>
      <c r="C319" s="211"/>
      <c r="D319" s="211"/>
      <c r="E319" s="211"/>
      <c r="F319" s="210">
        <f>SUM(F295:F317)</f>
        <v>-18605.950000000004</v>
      </c>
      <c r="G319" s="7"/>
      <c r="J319" s="95"/>
      <c r="K319" s="204"/>
      <c r="L319" s="204"/>
      <c r="M319" s="204"/>
      <c r="N319" s="204"/>
    </row>
    <row r="320" spans="2:14" ht="15.6" hidden="1" x14ac:dyDescent="0.3">
      <c r="B320" s="400"/>
      <c r="C320" s="180"/>
      <c r="D320" s="180"/>
      <c r="E320" s="180"/>
      <c r="F320" s="175"/>
      <c r="G320" s="7"/>
      <c r="J320" s="95"/>
      <c r="K320" s="204"/>
      <c r="L320" s="204"/>
      <c r="M320" s="204"/>
      <c r="N320" s="204"/>
    </row>
    <row r="321" spans="2:14" ht="15.6" x14ac:dyDescent="0.3">
      <c r="B321" s="105">
        <v>43100</v>
      </c>
      <c r="C321" s="227" t="s">
        <v>2</v>
      </c>
      <c r="D321" s="227"/>
      <c r="E321" s="227"/>
      <c r="F321" s="152">
        <v>1376.33</v>
      </c>
      <c r="G321" s="173"/>
      <c r="H321" s="116">
        <f>F293+F319</f>
        <v>1376.3299999999945</v>
      </c>
      <c r="L321" s="204"/>
      <c r="M321" s="204"/>
      <c r="N321" s="204"/>
    </row>
    <row r="322" spans="2:14" ht="15.6" x14ac:dyDescent="0.3">
      <c r="B322" s="377"/>
      <c r="C322" s="415" t="s">
        <v>362</v>
      </c>
      <c r="D322" s="415"/>
      <c r="E322" s="415"/>
      <c r="F322" s="172"/>
      <c r="G322" s="173"/>
      <c r="L322" s="204"/>
      <c r="M322" s="204"/>
      <c r="N322" s="204"/>
    </row>
    <row r="323" spans="2:14" ht="15.6" x14ac:dyDescent="0.3">
      <c r="B323" s="377">
        <v>43109</v>
      </c>
      <c r="C323" s="415" t="s">
        <v>367</v>
      </c>
      <c r="D323" s="415"/>
      <c r="E323" s="415"/>
      <c r="F323" s="172">
        <v>-945.01</v>
      </c>
      <c r="G323" s="173"/>
      <c r="H323" s="7" t="s">
        <v>379</v>
      </c>
      <c r="K323" s="204"/>
      <c r="L323" s="204"/>
      <c r="M323" s="204"/>
      <c r="N323" s="204"/>
    </row>
    <row r="324" spans="2:14" ht="15.6" x14ac:dyDescent="0.3">
      <c r="B324" s="377">
        <v>43122</v>
      </c>
      <c r="C324" s="415" t="s">
        <v>371</v>
      </c>
      <c r="D324" s="415"/>
      <c r="E324" s="415"/>
      <c r="F324" s="172">
        <v>-199.65</v>
      </c>
      <c r="G324" s="173"/>
      <c r="H324" s="7" t="s">
        <v>377</v>
      </c>
      <c r="K324" s="204"/>
      <c r="L324" s="204"/>
      <c r="M324" s="204"/>
      <c r="N324" s="204"/>
    </row>
    <row r="325" spans="2:14" ht="15.6" x14ac:dyDescent="0.3">
      <c r="B325" s="377">
        <v>43166</v>
      </c>
      <c r="C325" s="415" t="s">
        <v>368</v>
      </c>
      <c r="D325" s="415"/>
      <c r="E325" s="415"/>
      <c r="F325" s="172">
        <v>-1564.6</v>
      </c>
      <c r="G325" s="173"/>
      <c r="H325" s="7" t="s">
        <v>378</v>
      </c>
      <c r="K325" s="204"/>
      <c r="L325" s="204"/>
      <c r="M325" s="204"/>
      <c r="N325" s="204"/>
    </row>
    <row r="326" spans="2:14" ht="15.6" x14ac:dyDescent="0.3">
      <c r="B326" s="377">
        <v>43234</v>
      </c>
      <c r="C326" s="415" t="s">
        <v>382</v>
      </c>
      <c r="D326" s="415"/>
      <c r="E326" s="415"/>
      <c r="F326" s="172">
        <v>-504.56</v>
      </c>
      <c r="G326" s="173"/>
      <c r="H326" s="7" t="s">
        <v>378</v>
      </c>
      <c r="K326" s="204"/>
      <c r="L326" s="204"/>
      <c r="M326" s="204"/>
      <c r="N326" s="204"/>
    </row>
    <row r="327" spans="2:14" ht="15.6" x14ac:dyDescent="0.3">
      <c r="B327" s="377">
        <v>43286</v>
      </c>
      <c r="C327" s="415" t="s">
        <v>387</v>
      </c>
      <c r="D327" s="415"/>
      <c r="E327" s="415"/>
      <c r="F327" s="172">
        <v>-693.87</v>
      </c>
      <c r="G327" s="173"/>
      <c r="H327" s="7" t="s">
        <v>404</v>
      </c>
      <c r="K327" s="204"/>
      <c r="L327" s="204"/>
      <c r="M327" s="204"/>
      <c r="N327" s="204"/>
    </row>
    <row r="328" spans="2:14" ht="15.6" x14ac:dyDescent="0.3">
      <c r="B328" s="377">
        <v>43382</v>
      </c>
      <c r="C328" s="415" t="s">
        <v>398</v>
      </c>
      <c r="D328" s="415"/>
      <c r="E328" s="415"/>
      <c r="F328" s="172">
        <v>-250</v>
      </c>
      <c r="G328" s="173"/>
      <c r="H328" s="7" t="s">
        <v>377</v>
      </c>
      <c r="K328" s="204"/>
      <c r="L328" s="204"/>
      <c r="M328" s="204"/>
      <c r="N328" s="204"/>
    </row>
    <row r="329" spans="2:14" ht="15.6" x14ac:dyDescent="0.3">
      <c r="B329" s="377">
        <v>43443</v>
      </c>
      <c r="C329" s="415" t="s">
        <v>405</v>
      </c>
      <c r="D329" s="415"/>
      <c r="E329" s="415"/>
      <c r="F329" s="172">
        <f>-5799.99</f>
        <v>-5799.99</v>
      </c>
      <c r="G329" s="173"/>
      <c r="H329" s="7" t="s">
        <v>377</v>
      </c>
      <c r="K329" s="204"/>
      <c r="L329" s="204"/>
      <c r="M329" s="204"/>
      <c r="N329" s="204"/>
    </row>
    <row r="330" spans="2:14" ht="15.6" x14ac:dyDescent="0.3">
      <c r="B330" s="377">
        <v>43447</v>
      </c>
      <c r="C330" s="415" t="s">
        <v>406</v>
      </c>
      <c r="D330" s="415"/>
      <c r="E330" s="415"/>
      <c r="F330" s="172">
        <v>-3000</v>
      </c>
      <c r="G330" s="173"/>
      <c r="H330" s="7" t="s">
        <v>407</v>
      </c>
      <c r="K330" s="204"/>
      <c r="L330" s="204"/>
      <c r="M330" s="204"/>
      <c r="N330" s="204"/>
    </row>
    <row r="331" spans="2:14" ht="15.6" x14ac:dyDescent="0.3">
      <c r="B331" s="377"/>
      <c r="C331" s="415"/>
      <c r="D331" s="415"/>
      <c r="E331" s="415"/>
      <c r="F331" s="172"/>
      <c r="G331" s="173"/>
      <c r="K331" s="204"/>
      <c r="L331" s="204"/>
      <c r="M331" s="204"/>
      <c r="N331" s="204"/>
    </row>
    <row r="332" spans="2:14" ht="16.2" thickBot="1" x14ac:dyDescent="0.35">
      <c r="B332" s="377"/>
      <c r="C332" s="415" t="s">
        <v>364</v>
      </c>
      <c r="D332" s="415"/>
      <c r="E332" s="415"/>
      <c r="F332" s="172">
        <f>SUM(F322:F331)</f>
        <v>-12957.68</v>
      </c>
      <c r="G332" s="173"/>
      <c r="J332" s="7"/>
      <c r="K332" s="204"/>
      <c r="L332" s="204"/>
      <c r="M332" s="204"/>
      <c r="N332" s="204"/>
    </row>
    <row r="333" spans="2:14" ht="15.6" x14ac:dyDescent="0.3">
      <c r="B333" s="529"/>
      <c r="C333" s="530" t="s">
        <v>363</v>
      </c>
      <c r="D333" s="530"/>
      <c r="E333" s="530"/>
      <c r="F333" s="531"/>
      <c r="G333" s="173"/>
      <c r="J333" s="116"/>
      <c r="K333" s="204"/>
      <c r="L333" s="204"/>
      <c r="M333" s="204"/>
      <c r="N333" s="204"/>
    </row>
    <row r="334" spans="2:14" ht="15.6" x14ac:dyDescent="0.3">
      <c r="B334" s="377">
        <v>42759</v>
      </c>
      <c r="C334" s="415" t="s">
        <v>370</v>
      </c>
      <c r="D334" s="415"/>
      <c r="E334" s="415"/>
      <c r="F334" s="172">
        <v>7120</v>
      </c>
      <c r="G334" s="173"/>
      <c r="H334" s="7" t="s">
        <v>376</v>
      </c>
      <c r="J334" s="116"/>
      <c r="K334" s="204"/>
      <c r="L334" s="204"/>
      <c r="M334" s="204"/>
      <c r="N334" s="204"/>
    </row>
    <row r="335" spans="2:14" ht="15.6" x14ac:dyDescent="0.3">
      <c r="B335" s="377">
        <f>B19</f>
        <v>43442</v>
      </c>
      <c r="C335" s="377" t="str">
        <f>C19</f>
        <v>overheveling saldo 25 jarig bestaan/tuin</v>
      </c>
      <c r="D335" s="377"/>
      <c r="E335" s="377"/>
      <c r="F335" s="538">
        <f>-F19</f>
        <v>232.6</v>
      </c>
      <c r="G335" s="173"/>
      <c r="H335" s="7" t="s">
        <v>376</v>
      </c>
      <c r="J335" s="116"/>
      <c r="K335" s="204"/>
      <c r="L335" s="204"/>
      <c r="M335" s="204"/>
      <c r="N335" s="204"/>
    </row>
    <row r="336" spans="2:14" ht="15.6" x14ac:dyDescent="0.3">
      <c r="B336" s="377">
        <f>B39</f>
        <v>43442</v>
      </c>
      <c r="C336" s="415" t="str">
        <f>C39</f>
        <v>overheveling saldo 25 jarig best. Tuin</v>
      </c>
      <c r="D336" s="415"/>
      <c r="E336" s="415"/>
      <c r="F336" s="172">
        <f>-F39</f>
        <v>598.16999999999996</v>
      </c>
      <c r="G336" s="173"/>
      <c r="H336" s="7" t="s">
        <v>376</v>
      </c>
      <c r="J336" s="116"/>
      <c r="K336" s="204"/>
      <c r="L336" s="204"/>
      <c r="M336" s="204"/>
      <c r="N336" s="204"/>
    </row>
    <row r="337" spans="1:14" ht="15.6" x14ac:dyDescent="0.3">
      <c r="B337" s="377"/>
      <c r="C337" s="415"/>
      <c r="D337" s="415"/>
      <c r="E337" s="415"/>
      <c r="F337" s="172"/>
      <c r="G337" s="173"/>
      <c r="J337" s="116"/>
      <c r="K337" s="204"/>
      <c r="L337" s="204"/>
      <c r="M337" s="204"/>
      <c r="N337" s="204"/>
    </row>
    <row r="338" spans="1:14" ht="16.2" thickBot="1" x14ac:dyDescent="0.35">
      <c r="B338" s="532"/>
      <c r="C338" s="533" t="s">
        <v>365</v>
      </c>
      <c r="D338" s="533"/>
      <c r="E338" s="533"/>
      <c r="F338" s="72">
        <f>SUM(F333:F337)</f>
        <v>7950.77</v>
      </c>
      <c r="G338" s="173"/>
      <c r="K338" s="204"/>
      <c r="L338" s="204"/>
      <c r="M338" s="204"/>
      <c r="N338" s="204"/>
    </row>
    <row r="339" spans="1:14" ht="16.2" thickBot="1" x14ac:dyDescent="0.35">
      <c r="B339" s="511">
        <f>B2</f>
        <v>43465</v>
      </c>
      <c r="C339" s="512" t="s">
        <v>2</v>
      </c>
      <c r="D339" s="512"/>
      <c r="E339" s="512"/>
      <c r="F339" s="513">
        <f>F321+F332+F338</f>
        <v>-3630.58</v>
      </c>
      <c r="G339" s="173"/>
      <c r="H339" s="116"/>
      <c r="K339" s="204"/>
      <c r="L339" s="204"/>
      <c r="M339" s="204"/>
      <c r="N339" s="204"/>
    </row>
    <row r="340" spans="1:14" ht="16.2" thickBot="1" x14ac:dyDescent="0.35">
      <c r="B340" s="13"/>
      <c r="C340" s="203"/>
      <c r="D340" s="203"/>
      <c r="E340" s="202"/>
      <c r="F340" s="202"/>
      <c r="K340" s="204"/>
      <c r="L340" s="204"/>
      <c r="M340" s="204"/>
      <c r="N340" s="204"/>
    </row>
    <row r="341" spans="1:14" ht="15.6" x14ac:dyDescent="0.3">
      <c r="A341" s="95"/>
      <c r="B341" s="223" t="s">
        <v>226</v>
      </c>
      <c r="C341" s="182"/>
      <c r="D341" s="182"/>
      <c r="E341" s="397" t="s">
        <v>141</v>
      </c>
      <c r="F341" s="394"/>
      <c r="K341" s="204"/>
      <c r="L341" s="204"/>
      <c r="M341" s="204"/>
      <c r="N341" s="204"/>
    </row>
    <row r="342" spans="1:14" ht="21" x14ac:dyDescent="0.4">
      <c r="B342" s="23"/>
      <c r="F342" s="51"/>
      <c r="K342" s="536"/>
      <c r="L342" s="536"/>
      <c r="M342" s="536"/>
      <c r="N342" s="536"/>
    </row>
    <row r="343" spans="1:14" ht="15.6" x14ac:dyDescent="0.3">
      <c r="B343" s="421">
        <v>42760</v>
      </c>
      <c r="C343" s="399" t="s">
        <v>222</v>
      </c>
      <c r="D343" s="399"/>
      <c r="E343" s="399"/>
      <c r="F343" s="175">
        <v>2000</v>
      </c>
      <c r="G343" s="95"/>
    </row>
    <row r="344" spans="1:14" x14ac:dyDescent="0.25">
      <c r="B344" s="23"/>
      <c r="F344" s="51"/>
    </row>
    <row r="345" spans="1:14" x14ac:dyDescent="0.25">
      <c r="B345" s="413">
        <v>42768</v>
      </c>
      <c r="C345" s="399" t="s">
        <v>227</v>
      </c>
      <c r="D345" s="399"/>
      <c r="E345" s="399"/>
      <c r="F345" s="412">
        <f>-500</f>
        <v>-500</v>
      </c>
      <c r="G345" s="95"/>
    </row>
    <row r="346" spans="1:14" x14ac:dyDescent="0.25">
      <c r="B346" s="413">
        <v>42770</v>
      </c>
      <c r="C346" s="399" t="s">
        <v>228</v>
      </c>
      <c r="D346" s="399"/>
      <c r="E346" s="399"/>
      <c r="F346" s="412">
        <f>-574</f>
        <v>-574</v>
      </c>
      <c r="G346" s="95"/>
    </row>
    <row r="347" spans="1:14" x14ac:dyDescent="0.25">
      <c r="B347" s="405"/>
      <c r="F347" s="51"/>
    </row>
    <row r="348" spans="1:14" x14ac:dyDescent="0.25">
      <c r="B348" s="232" t="s">
        <v>307</v>
      </c>
      <c r="C348" s="171"/>
      <c r="D348" s="171"/>
      <c r="E348" s="171"/>
      <c r="F348" s="414">
        <f>SUM(F345:F347)</f>
        <v>-1074</v>
      </c>
    </row>
    <row r="349" spans="1:14" x14ac:dyDescent="0.25">
      <c r="B349" s="192"/>
      <c r="F349" s="51"/>
    </row>
    <row r="350" spans="1:14" ht="15.6" x14ac:dyDescent="0.3">
      <c r="B350" s="105">
        <f>B321</f>
        <v>43100</v>
      </c>
      <c r="C350" s="227" t="s">
        <v>2</v>
      </c>
      <c r="D350" s="114"/>
      <c r="E350" s="115"/>
      <c r="F350" s="152">
        <v>926</v>
      </c>
      <c r="G350" s="504"/>
      <c r="H350" s="116"/>
    </row>
    <row r="351" spans="1:14" ht="15.6" x14ac:dyDescent="0.3">
      <c r="B351" s="377"/>
      <c r="C351" s="415" t="s">
        <v>362</v>
      </c>
      <c r="D351" s="415"/>
      <c r="E351" s="415"/>
      <c r="F351" s="172"/>
      <c r="G351" s="504"/>
    </row>
    <row r="352" spans="1:14" ht="15.6" x14ac:dyDescent="0.3">
      <c r="B352" s="377"/>
      <c r="C352" s="415" t="s">
        <v>364</v>
      </c>
      <c r="D352" s="415"/>
      <c r="E352" s="415"/>
      <c r="F352" s="172">
        <f>SUM(F351:F351)</f>
        <v>0</v>
      </c>
      <c r="G352" s="504"/>
    </row>
    <row r="353" spans="2:7" ht="15.6" x14ac:dyDescent="0.3">
      <c r="B353" s="377"/>
      <c r="C353" s="415" t="s">
        <v>363</v>
      </c>
      <c r="D353" s="415"/>
      <c r="E353" s="415"/>
      <c r="F353" s="172"/>
      <c r="G353" s="504"/>
    </row>
    <row r="354" spans="2:7" ht="16.2" thickBot="1" x14ac:dyDescent="0.35">
      <c r="B354" s="377"/>
      <c r="C354" s="415" t="s">
        <v>365</v>
      </c>
      <c r="D354" s="415"/>
      <c r="E354" s="415"/>
      <c r="F354" s="172">
        <f>SUM(F353:F353)</f>
        <v>0</v>
      </c>
      <c r="G354" s="504"/>
    </row>
    <row r="355" spans="2:7" ht="16.2" thickBot="1" x14ac:dyDescent="0.35">
      <c r="B355" s="511">
        <f>B2</f>
        <v>43465</v>
      </c>
      <c r="C355" s="512" t="s">
        <v>2</v>
      </c>
      <c r="D355" s="512"/>
      <c r="E355" s="512"/>
      <c r="F355" s="513">
        <f>F350+F352+F354</f>
        <v>926</v>
      </c>
      <c r="G355" s="504"/>
    </row>
    <row r="357" spans="2:7" ht="13.8" thickBot="1" x14ac:dyDescent="0.3"/>
    <row r="358" spans="2:7" ht="16.2" thickBot="1" x14ac:dyDescent="0.35">
      <c r="B358" s="223" t="s">
        <v>140</v>
      </c>
      <c r="C358" s="182"/>
      <c r="D358" s="182"/>
      <c r="E358" s="397" t="s">
        <v>243</v>
      </c>
      <c r="F358" s="394"/>
    </row>
    <row r="359" spans="2:7" ht="16.2" thickBot="1" x14ac:dyDescent="0.35">
      <c r="B359" s="515">
        <v>43465</v>
      </c>
      <c r="C359" s="64"/>
      <c r="D359" s="64"/>
      <c r="E359" s="201"/>
      <c r="F359" s="513">
        <f>'jaarrek 2017 begr 2018 '!H8</f>
        <v>704.3300000000072</v>
      </c>
    </row>
    <row r="360" spans="2:7" ht="15.6" x14ac:dyDescent="0.3">
      <c r="B360" s="19"/>
      <c r="C360" s="64"/>
      <c r="D360" s="64"/>
      <c r="E360" s="201"/>
      <c r="F360" s="358"/>
    </row>
    <row r="361" spans="2:7" ht="15.6" x14ac:dyDescent="0.3">
      <c r="B361" s="359">
        <f>B2</f>
        <v>43465</v>
      </c>
      <c r="C361" s="211" t="str">
        <f>C279</f>
        <v>Saldo</v>
      </c>
      <c r="D361" s="228"/>
      <c r="E361" s="217"/>
      <c r="F361" s="210">
        <f>'31 dec 2019'!G29</f>
        <v>704.33000000000902</v>
      </c>
    </row>
    <row r="362" spans="2:7" ht="16.2" thickBot="1" x14ac:dyDescent="0.35">
      <c r="B362" s="213"/>
      <c r="C362" s="214"/>
      <c r="D362" s="215"/>
      <c r="E362" s="215"/>
      <c r="F362" s="216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U51"/>
  <sheetViews>
    <sheetView topLeftCell="E2" workbookViewId="0">
      <selection activeCell="L14" sqref="L14:L20"/>
    </sheetView>
  </sheetViews>
  <sheetFormatPr defaultRowHeight="13.2" x14ac:dyDescent="0.25"/>
  <cols>
    <col min="1" max="1" width="33.44140625" customWidth="1"/>
    <col min="2" max="2" width="6.33203125" customWidth="1"/>
    <col min="3" max="3" width="27.6640625" customWidth="1"/>
    <col min="4" max="4" width="19.88671875" customWidth="1"/>
    <col min="5" max="5" width="1.33203125" customWidth="1"/>
    <col min="6" max="6" width="35" customWidth="1"/>
    <col min="7" max="7" width="5.5546875" customWidth="1"/>
    <col min="8" max="8" width="17" customWidth="1"/>
    <col min="9" max="9" width="17.5546875" customWidth="1"/>
    <col min="10" max="10" width="14.44140625" customWidth="1"/>
    <col min="11" max="11" width="3" customWidth="1"/>
    <col min="12" max="12" width="47.44140625" customWidth="1"/>
    <col min="13" max="13" width="20.5546875" customWidth="1"/>
    <col min="14" max="14" width="17.109375" customWidth="1"/>
    <col min="15" max="15" width="1.6640625" customWidth="1"/>
    <col min="16" max="16" width="35" customWidth="1"/>
    <col min="17" max="17" width="7.88671875" customWidth="1"/>
    <col min="18" max="18" width="13.88671875" customWidth="1"/>
    <col min="19" max="19" width="13.6640625" customWidth="1"/>
    <col min="20" max="20" width="14" customWidth="1"/>
  </cols>
  <sheetData>
    <row r="1" spans="1:21" ht="18" thickBot="1" x14ac:dyDescent="0.35">
      <c r="A1" s="257" t="s">
        <v>168</v>
      </c>
      <c r="B1" s="258"/>
      <c r="C1" s="258"/>
      <c r="D1" s="258"/>
      <c r="E1" s="259"/>
      <c r="F1" s="260"/>
      <c r="G1" s="260"/>
      <c r="H1" s="260"/>
      <c r="I1" s="260"/>
      <c r="Q1" s="348"/>
      <c r="R1" s="348"/>
      <c r="S1" s="434"/>
    </row>
    <row r="2" spans="1:21" ht="21.6" thickBot="1" x14ac:dyDescent="0.45">
      <c r="A2" s="404" t="s">
        <v>408</v>
      </c>
      <c r="B2" s="262"/>
      <c r="C2" s="262"/>
      <c r="D2" s="82" t="s">
        <v>454</v>
      </c>
      <c r="E2" s="263"/>
      <c r="F2" s="264"/>
      <c r="G2" s="264"/>
      <c r="H2" s="264"/>
      <c r="I2" s="264"/>
      <c r="L2" s="404" t="s">
        <v>414</v>
      </c>
      <c r="M2" s="430"/>
      <c r="N2" s="430"/>
      <c r="O2" s="573"/>
      <c r="P2" s="267"/>
      <c r="Q2" s="349"/>
      <c r="R2" s="349"/>
      <c r="S2" s="435"/>
      <c r="T2" s="559"/>
    </row>
    <row r="3" spans="1:21" ht="15.6" x14ac:dyDescent="0.3">
      <c r="A3" s="269"/>
      <c r="B3" s="270"/>
      <c r="C3" s="270"/>
      <c r="D3" s="270"/>
      <c r="E3" s="271"/>
      <c r="F3" s="272"/>
      <c r="G3" s="272"/>
      <c r="H3" s="272"/>
      <c r="I3" s="453"/>
      <c r="L3" s="273"/>
      <c r="M3" s="274"/>
      <c r="N3" s="274"/>
      <c r="O3" s="574"/>
      <c r="P3" s="276"/>
      <c r="Q3" s="350"/>
      <c r="R3" s="350"/>
      <c r="S3" s="436"/>
      <c r="T3" s="558"/>
    </row>
    <row r="4" spans="1:21" ht="15.6" x14ac:dyDescent="0.3">
      <c r="A4" s="838" t="s">
        <v>409</v>
      </c>
      <c r="B4" s="839"/>
      <c r="C4" s="839"/>
      <c r="D4" s="839"/>
      <c r="E4" s="839"/>
      <c r="F4" s="839"/>
      <c r="G4" s="839"/>
      <c r="H4" s="839"/>
      <c r="I4" s="840"/>
      <c r="L4" s="278"/>
      <c r="M4" s="276"/>
      <c r="N4" s="276"/>
      <c r="O4" s="575"/>
      <c r="P4" s="276"/>
      <c r="Q4" s="350"/>
      <c r="R4" s="350"/>
      <c r="S4" s="436"/>
      <c r="T4" s="558"/>
    </row>
    <row r="5" spans="1:21" ht="15.6" x14ac:dyDescent="0.3">
      <c r="A5" s="279" t="s">
        <v>173</v>
      </c>
      <c r="B5" s="6"/>
      <c r="C5" s="6"/>
      <c r="D5" s="6"/>
      <c r="E5" s="4"/>
      <c r="F5" s="219" t="s">
        <v>174</v>
      </c>
      <c r="G5" s="219"/>
      <c r="H5" s="219"/>
      <c r="I5" s="454"/>
      <c r="L5" s="281" t="s">
        <v>175</v>
      </c>
      <c r="M5" s="351">
        <v>2019</v>
      </c>
      <c r="N5" s="351">
        <v>2018</v>
      </c>
      <c r="O5" s="576"/>
      <c r="P5" s="282" t="s">
        <v>176</v>
      </c>
      <c r="Q5" s="351"/>
      <c r="R5" s="351">
        <v>2019</v>
      </c>
      <c r="S5" s="351">
        <v>2018</v>
      </c>
      <c r="T5" s="558"/>
    </row>
    <row r="6" spans="1:21" ht="15" x14ac:dyDescent="0.25">
      <c r="A6" s="192"/>
      <c r="B6" s="7"/>
      <c r="C6" s="106">
        <v>43465</v>
      </c>
      <c r="D6" s="284">
        <v>43100</v>
      </c>
      <c r="E6" s="4"/>
      <c r="F6" s="285"/>
      <c r="G6" s="285"/>
      <c r="H6" s="220">
        <v>43465</v>
      </c>
      <c r="I6" s="286">
        <v>43100</v>
      </c>
      <c r="L6" s="278"/>
      <c r="M6" s="276"/>
      <c r="N6" s="276"/>
      <c r="O6" s="575"/>
      <c r="P6" s="276"/>
      <c r="Q6" s="350"/>
      <c r="R6" s="350"/>
      <c r="S6" s="436"/>
      <c r="T6" s="51"/>
    </row>
    <row r="7" spans="1:21" ht="15" x14ac:dyDescent="0.25">
      <c r="A7" s="192"/>
      <c r="B7" s="7"/>
      <c r="D7" s="7"/>
      <c r="E7" s="4"/>
      <c r="F7" s="285"/>
      <c r="G7" s="285"/>
      <c r="H7" s="285"/>
      <c r="I7" s="455"/>
      <c r="L7" s="288" t="s">
        <v>70</v>
      </c>
      <c r="M7" s="433">
        <f>C8</f>
        <v>1.5917822615563182E-14</v>
      </c>
      <c r="N7" s="433">
        <f>D8</f>
        <v>232.52</v>
      </c>
      <c r="O7" s="554"/>
      <c r="P7" s="291" t="str">
        <f>'fin overz 31 dec 2016'!E16</f>
        <v>*Tuinwerkgroep</v>
      </c>
      <c r="Q7" s="352" t="str">
        <f>'project 2018'!E6</f>
        <v>nr.1</v>
      </c>
      <c r="R7" s="433">
        <v>0</v>
      </c>
      <c r="S7" s="437">
        <f>'project 2018'!F17</f>
        <v>232.51999999999992</v>
      </c>
      <c r="T7" s="51"/>
    </row>
    <row r="8" spans="1:21" ht="15" x14ac:dyDescent="0.25">
      <c r="A8" s="192" t="s">
        <v>213</v>
      </c>
      <c r="B8" s="7"/>
      <c r="C8" s="116">
        <f>'project 2018 def'!F26</f>
        <v>1.5917822615563182E-14</v>
      </c>
      <c r="D8" s="193">
        <v>232.52</v>
      </c>
      <c r="E8" s="4"/>
      <c r="F8" s="343" t="s">
        <v>204</v>
      </c>
      <c r="G8" s="343"/>
      <c r="H8" s="456">
        <f>-SUM(H10:H21)+H23</f>
        <v>704.33000000001448</v>
      </c>
      <c r="I8" s="456">
        <f>-SUM(I10:I21)+I23</f>
        <v>704.3300000000072</v>
      </c>
      <c r="L8" s="288" t="s">
        <v>215</v>
      </c>
      <c r="M8" s="433">
        <f>C9</f>
        <v>1094.7900000000072</v>
      </c>
      <c r="N8" s="433">
        <f>D9</f>
        <v>5318.25</v>
      </c>
      <c r="O8" s="554"/>
      <c r="P8" s="291" t="str">
        <f>'fin overz 31 dec 2016'!E17</f>
        <v xml:space="preserve">*Te besteden voor tuin </v>
      </c>
      <c r="Q8" s="352" t="str">
        <f>'project 2018'!E30</f>
        <v>nr. 2</v>
      </c>
      <c r="R8" s="433">
        <v>0</v>
      </c>
      <c r="S8" s="437">
        <f>'project 2018'!F36</f>
        <v>598.16999999999985</v>
      </c>
      <c r="T8" s="51"/>
    </row>
    <row r="9" spans="1:21" ht="15" x14ac:dyDescent="0.25">
      <c r="A9" s="192" t="s">
        <v>293</v>
      </c>
      <c r="B9" s="7"/>
      <c r="C9" s="116">
        <f>A10+'project 2018 def'!F123+'project 2018 def'!F157+'project 2018 def'!F242+'project 2018 def'!F259+'project 2018 def'!F339+'project 2018 def'!F355+'project 2018 def'!F359</f>
        <v>1094.7900000000072</v>
      </c>
      <c r="D9" s="193">
        <v>5318.25</v>
      </c>
      <c r="E9" s="4"/>
      <c r="F9" s="221"/>
      <c r="G9" s="221"/>
      <c r="H9" s="221"/>
      <c r="I9" s="292"/>
      <c r="L9" s="288" t="s">
        <v>73</v>
      </c>
      <c r="M9" s="433">
        <f>C12</f>
        <v>3563.67</v>
      </c>
      <c r="N9" s="433">
        <f>D12</f>
        <v>7537.84</v>
      </c>
      <c r="O9" s="554"/>
      <c r="P9" s="291" t="str">
        <f>'fin overz 31 dec 2016'!E18</f>
        <v>*Te besteden voor algemene publieksact.</v>
      </c>
      <c r="Q9" s="352" t="str">
        <f>'project 2018'!E49</f>
        <v>nr.3</v>
      </c>
      <c r="R9" s="433">
        <v>0</v>
      </c>
      <c r="S9" s="437">
        <f>'project 2018'!F56</f>
        <v>2.2282176104226892E-13</v>
      </c>
      <c r="T9" s="51"/>
    </row>
    <row r="10" spans="1:21" ht="15" x14ac:dyDescent="0.25">
      <c r="A10" s="610">
        <v>1500</v>
      </c>
      <c r="E10" s="4"/>
      <c r="F10" s="221" t="str">
        <f>'31 dec 2019'!E16</f>
        <v>*Tuinwerkgroep</v>
      </c>
      <c r="G10" s="431">
        <f>'31 dec 2019'!F16</f>
        <v>1</v>
      </c>
      <c r="H10" s="193">
        <f>'project 2018'!F26</f>
        <v>-6.934730567564884E-14</v>
      </c>
      <c r="I10" s="231">
        <f>'project 2018'!F17</f>
        <v>232.51999999999992</v>
      </c>
      <c r="J10" s="116"/>
      <c r="K10" s="116"/>
      <c r="L10" s="288"/>
      <c r="M10" s="403"/>
      <c r="N10" s="403"/>
      <c r="O10" s="554"/>
      <c r="P10" s="291" t="str">
        <f>'fin overz 31 dec 2016'!E19</f>
        <v>*Reservering diversen</v>
      </c>
      <c r="Q10" s="352" t="str">
        <f>'project 2018'!E60</f>
        <v>nr.4</v>
      </c>
      <c r="R10" s="433">
        <f>'project 2018'!F123</f>
        <v>14.940000000000071</v>
      </c>
      <c r="S10" s="437">
        <f>'project 2018'!F103</f>
        <v>133.32000000000008</v>
      </c>
      <c r="T10" s="51"/>
    </row>
    <row r="11" spans="1:21" ht="15" x14ac:dyDescent="0.25">
      <c r="A11" s="610" t="s">
        <v>437</v>
      </c>
      <c r="E11" s="4"/>
      <c r="F11" s="221" t="str">
        <f>'31 dec 2019'!E17</f>
        <v xml:space="preserve">*Te besteden voor tuin </v>
      </c>
      <c r="G11" s="431">
        <f>'31 dec 2019'!F17</f>
        <v>2</v>
      </c>
      <c r="H11" s="193">
        <f>'project 2018'!F45</f>
        <v>-1.1368683772161603E-13</v>
      </c>
      <c r="I11" s="231">
        <f>'project 2018'!F36</f>
        <v>598.16999999999985</v>
      </c>
      <c r="J11" s="116"/>
      <c r="L11" s="288"/>
      <c r="M11" s="403"/>
      <c r="N11" s="403"/>
      <c r="O11" s="554"/>
      <c r="P11" s="291" t="str">
        <f>'fin overz 31 dec 2016'!E20</f>
        <v>*Te besteden voor tentoonstelling</v>
      </c>
      <c r="Q11" s="352" t="str">
        <f>'project 2018'!E126</f>
        <v>nr.5</v>
      </c>
      <c r="R11" s="433">
        <v>0</v>
      </c>
      <c r="S11" s="437">
        <f>'project 2018'!F135</f>
        <v>0</v>
      </c>
      <c r="T11" s="51"/>
    </row>
    <row r="12" spans="1:21" ht="15" x14ac:dyDescent="0.25">
      <c r="A12" s="192" t="s">
        <v>73</v>
      </c>
      <c r="B12" s="7"/>
      <c r="C12" s="116">
        <f>'project 2018 def'!F220-1500</f>
        <v>3563.67</v>
      </c>
      <c r="D12" s="193">
        <v>7537.84</v>
      </c>
      <c r="E12" s="4"/>
      <c r="F12" s="221" t="str">
        <f>'31 dec 2019'!E18</f>
        <v>*Te besteden voor algemene publieksact.</v>
      </c>
      <c r="G12" s="431">
        <f>'31 dec 2019'!F18</f>
        <v>3</v>
      </c>
      <c r="H12" s="193">
        <f>'project 2018'!F56</f>
        <v>2.2282176104226892E-13</v>
      </c>
      <c r="I12" s="231">
        <f>'project 2018'!F56</f>
        <v>2.2282176104226892E-13</v>
      </c>
      <c r="J12" s="116"/>
      <c r="L12" s="288" t="s">
        <v>59</v>
      </c>
      <c r="M12" s="433">
        <v>3</v>
      </c>
      <c r="N12" s="433">
        <v>5</v>
      </c>
      <c r="O12" s="554"/>
      <c r="P12" s="291" t="str">
        <f>'fin overz 31 dec 2016'!E21</f>
        <v>*Te besteden herinrichting ruimte</v>
      </c>
      <c r="Q12" s="352" t="str">
        <f>'project 2018'!E137</f>
        <v>nr.6</v>
      </c>
      <c r="R12" s="433">
        <f>'project 2018'!F160</f>
        <v>31.440000000000012</v>
      </c>
      <c r="S12" s="437">
        <f>'project 2018'!F151</f>
        <v>31.440000000000012</v>
      </c>
      <c r="T12" s="194"/>
    </row>
    <row r="13" spans="1:21" ht="15" x14ac:dyDescent="0.25">
      <c r="A13" s="611">
        <v>1500</v>
      </c>
      <c r="B13" s="116"/>
      <c r="D13" s="116"/>
      <c r="E13" s="4"/>
      <c r="F13" s="221" t="str">
        <f>'31 dec 2019'!E19</f>
        <v>*Reservering diversen</v>
      </c>
      <c r="G13" s="431">
        <f>'31 dec 2019'!F19</f>
        <v>4</v>
      </c>
      <c r="H13" s="193">
        <f>'project 2018'!F123</f>
        <v>14.940000000000071</v>
      </c>
      <c r="I13" s="231">
        <f>'project 2018'!F103</f>
        <v>133.32000000000008</v>
      </c>
      <c r="J13" s="116"/>
      <c r="L13" s="288" t="s">
        <v>180</v>
      </c>
      <c r="M13" s="433">
        <v>50</v>
      </c>
      <c r="N13" s="433">
        <v>50</v>
      </c>
      <c r="O13" s="554"/>
      <c r="P13" s="291" t="str">
        <f>'fin overz 31 dec 2016'!E22</f>
        <v>*Te besteden 50 dingen boekje</v>
      </c>
      <c r="Q13" s="352" t="str">
        <f>'project 2018'!E164</f>
        <v>nr.7</v>
      </c>
      <c r="R13" s="433">
        <f>'project 2018'!F223</f>
        <v>5063.6699999999983</v>
      </c>
      <c r="S13" s="437">
        <f>'project 2018'!F204</f>
        <v>7537.8399999999983</v>
      </c>
      <c r="T13" s="51"/>
      <c r="U13" s="7"/>
    </row>
    <row r="14" spans="1:21" ht="15" x14ac:dyDescent="0.25">
      <c r="A14" s="610" t="s">
        <v>436</v>
      </c>
      <c r="E14" s="4"/>
      <c r="F14" s="221" t="str">
        <f>'31 dec 2019'!E20</f>
        <v>*Te besteden voor tentoonstelling</v>
      </c>
      <c r="G14" s="431">
        <f>'31 dec 2019'!F20</f>
        <v>5</v>
      </c>
      <c r="H14" s="193">
        <f>'project 2018'!F135</f>
        <v>0</v>
      </c>
      <c r="I14" s="231">
        <f>'project 2018'!F135</f>
        <v>0</v>
      </c>
      <c r="J14" s="116"/>
      <c r="L14" s="288" t="s">
        <v>413</v>
      </c>
      <c r="M14" s="403"/>
      <c r="N14" s="403"/>
      <c r="O14" s="554"/>
      <c r="P14" s="291" t="str">
        <f>'fin overz 31 dec 2016'!E23</f>
        <v>*Basisonderwijs/st. Ronde Venen fonds</v>
      </c>
      <c r="Q14" s="352" t="str">
        <f>'project 2018'!E227</f>
        <v>nr.8</v>
      </c>
      <c r="R14" s="433">
        <f>'project 2018'!F245</f>
        <v>1500</v>
      </c>
      <c r="S14" s="442">
        <f>'project 2018'!F234+N15</f>
        <v>3000</v>
      </c>
      <c r="T14" s="51"/>
      <c r="U14" s="7"/>
    </row>
    <row r="15" spans="1:21" ht="15" x14ac:dyDescent="0.25">
      <c r="A15" s="192"/>
      <c r="B15" s="7"/>
      <c r="D15" s="7"/>
      <c r="E15" s="4"/>
      <c r="F15" s="221" t="str">
        <f>'31 dec 2019'!E21</f>
        <v>*Te besteden herinrichting ruimte</v>
      </c>
      <c r="G15" s="431">
        <f>'31 dec 2019'!F21</f>
        <v>6</v>
      </c>
      <c r="H15" s="193">
        <f>'project 2018'!F160</f>
        <v>31.440000000000012</v>
      </c>
      <c r="I15" s="231">
        <f>'project 2018'!F151</f>
        <v>31.440000000000012</v>
      </c>
      <c r="J15" s="116"/>
      <c r="L15" s="443" t="s">
        <v>295</v>
      </c>
      <c r="M15" s="403"/>
      <c r="N15" s="433">
        <v>3000</v>
      </c>
      <c r="O15" s="554"/>
      <c r="P15" s="291" t="str">
        <f>'fin overz 31 dec 2016'!E24</f>
        <v>*Stichting Doen/Oranjefonds</v>
      </c>
      <c r="Q15" s="352" t="str">
        <f>'project 2018'!E248</f>
        <v>nr.9</v>
      </c>
      <c r="R15" s="433">
        <f>'project 2018'!F266</f>
        <v>48.66</v>
      </c>
      <c r="S15" s="437">
        <f>'project 2018'!F257</f>
        <v>48.66</v>
      </c>
      <c r="T15" s="51"/>
      <c r="U15" s="7"/>
    </row>
    <row r="16" spans="1:21" ht="15" x14ac:dyDescent="0.25">
      <c r="A16" s="192"/>
      <c r="B16" s="7"/>
      <c r="D16" s="7"/>
      <c r="E16" s="4"/>
      <c r="F16" s="221" t="str">
        <f>'31 dec 2019'!E22</f>
        <v>*Te besteden 50 dingen boekje</v>
      </c>
      <c r="G16" s="431">
        <f>'31 dec 2019'!F22</f>
        <v>7</v>
      </c>
      <c r="H16" s="193">
        <f>'project 2018'!F223</f>
        <v>5063.6699999999983</v>
      </c>
      <c r="I16" s="231">
        <f>'project 2018'!F204</f>
        <v>7537.8399999999983</v>
      </c>
      <c r="J16" s="116"/>
      <c r="L16" s="443" t="s">
        <v>434</v>
      </c>
      <c r="M16" s="433">
        <v>4000</v>
      </c>
      <c r="N16" s="433">
        <v>13620</v>
      </c>
      <c r="O16" s="554"/>
      <c r="P16" s="291" t="str">
        <f>'fin overz 31 dec 2016'!E25</f>
        <v>*Rotary Vinkeveen</v>
      </c>
      <c r="Q16" s="352" t="str">
        <f>'project 2018'!E268</f>
        <v>nr 10</v>
      </c>
      <c r="R16" s="433">
        <f>'project 2018'!F277</f>
        <v>0</v>
      </c>
      <c r="S16" s="437">
        <f>'project 2018'!F277</f>
        <v>0</v>
      </c>
      <c r="T16" s="51"/>
      <c r="U16" s="7"/>
    </row>
    <row r="17" spans="1:21" ht="15.6" x14ac:dyDescent="0.3">
      <c r="A17" s="192"/>
      <c r="B17" s="7"/>
      <c r="D17" s="7"/>
      <c r="E17" s="4"/>
      <c r="F17" s="221" t="str">
        <f>'31 dec 2019'!E23</f>
        <v>*Basisonderwijs/st. Ronde Venen fonds</v>
      </c>
      <c r="G17" s="431">
        <f>'31 dec 2019'!F23</f>
        <v>8</v>
      </c>
      <c r="H17" s="193">
        <f>'project 2018'!F245</f>
        <v>1500</v>
      </c>
      <c r="I17" s="231">
        <f>'project 2018'!F236</f>
        <v>1500</v>
      </c>
      <c r="J17" s="116"/>
      <c r="L17" s="288" t="s">
        <v>435</v>
      </c>
      <c r="M17" s="433">
        <v>1000</v>
      </c>
      <c r="N17" s="403"/>
      <c r="O17" s="554"/>
      <c r="P17" s="291" t="str">
        <f>'fin overz 31 dec 2016'!E26</f>
        <v>*25 jarig bestaan</v>
      </c>
      <c r="Q17" s="352" t="str">
        <f>'project 2018'!E280</f>
        <v>nr.11</v>
      </c>
      <c r="R17" s="541">
        <v>1369.42</v>
      </c>
      <c r="S17" s="441">
        <v>15664.05</v>
      </c>
      <c r="T17" s="51" t="s">
        <v>417</v>
      </c>
      <c r="U17" s="116"/>
    </row>
    <row r="18" spans="1:21" ht="15" x14ac:dyDescent="0.25">
      <c r="A18" s="192"/>
      <c r="B18" s="7"/>
      <c r="D18" s="7"/>
      <c r="E18" s="4"/>
      <c r="F18" s="221" t="str">
        <f>'31 dec 2019'!E24</f>
        <v>*Stichting Doen/Oranjefonds</v>
      </c>
      <c r="G18" s="431">
        <f>'31 dec 2019'!F24</f>
        <v>9</v>
      </c>
      <c r="H18" s="193">
        <f>'project 2018'!F266</f>
        <v>48.66</v>
      </c>
      <c r="I18" s="231">
        <f>'project 2018'!F257</f>
        <v>48.66</v>
      </c>
      <c r="J18" s="116"/>
      <c r="L18" s="288" t="s">
        <v>294</v>
      </c>
      <c r="M18" s="433"/>
      <c r="N18" s="403"/>
      <c r="O18" s="554"/>
      <c r="P18" s="403" t="s">
        <v>223</v>
      </c>
      <c r="Q18" s="353" t="str">
        <f>'project 2018'!E351</f>
        <v>nr 12</v>
      </c>
      <c r="R18" s="542">
        <f>'project 2018'!F369</f>
        <v>926</v>
      </c>
      <c r="S18" s="438">
        <f>'project 2018'!F360</f>
        <v>926</v>
      </c>
      <c r="T18" s="51"/>
    </row>
    <row r="19" spans="1:21" ht="15" x14ac:dyDescent="0.25">
      <c r="A19" s="192"/>
      <c r="B19" s="7"/>
      <c r="D19" s="7"/>
      <c r="E19" s="4"/>
      <c r="F19" s="221" t="str">
        <f>'31 dec 2019'!E25</f>
        <v>*Rotary Vinkeveen</v>
      </c>
      <c r="G19" s="431">
        <f>'31 dec 2019'!F25</f>
        <v>10</v>
      </c>
      <c r="H19" s="193">
        <f>'project 2018'!F277</f>
        <v>0</v>
      </c>
      <c r="I19" s="231">
        <f>'project 2018'!F277</f>
        <v>0</v>
      </c>
      <c r="J19" s="116"/>
      <c r="L19" s="443" t="s">
        <v>440</v>
      </c>
      <c r="M19" s="433">
        <v>2000</v>
      </c>
      <c r="N19" s="403"/>
      <c r="O19" s="554"/>
      <c r="P19" s="294"/>
      <c r="Q19" s="353"/>
      <c r="R19" s="542"/>
      <c r="S19" s="438"/>
      <c r="T19" s="51"/>
    </row>
    <row r="20" spans="1:21" ht="15" x14ac:dyDescent="0.25">
      <c r="A20" s="192"/>
      <c r="B20" s="7"/>
      <c r="D20" s="7"/>
      <c r="E20" s="4"/>
      <c r="F20" s="221" t="str">
        <f>'31 dec 2019'!E26</f>
        <v>*25 jarig bestaan</v>
      </c>
      <c r="G20" s="431">
        <f>'31 dec 2019'!F26</f>
        <v>11</v>
      </c>
      <c r="H20" s="546">
        <f>'project 2018'!F346</f>
        <v>-3630.5800000000054</v>
      </c>
      <c r="I20" s="231">
        <f>'project 2018'!F328</f>
        <v>1376.3299999999945</v>
      </c>
      <c r="J20" s="116"/>
      <c r="L20" s="443" t="s">
        <v>439</v>
      </c>
      <c r="M20" s="433">
        <v>2500</v>
      </c>
      <c r="N20" s="433"/>
      <c r="O20" s="554"/>
      <c r="P20" s="294"/>
      <c r="Q20" s="353"/>
      <c r="R20" s="542"/>
      <c r="S20" s="438"/>
      <c r="T20" s="194"/>
    </row>
    <row r="21" spans="1:21" ht="15" x14ac:dyDescent="0.25">
      <c r="A21" s="192"/>
      <c r="B21" s="7"/>
      <c r="D21" s="7"/>
      <c r="E21" s="4"/>
      <c r="F21" s="221" t="str">
        <f>'31 dec 2019'!E27</f>
        <v>*Ontwikkeling NME (1)</v>
      </c>
      <c r="G21" s="431">
        <f>'31 dec 2019'!F27</f>
        <v>12</v>
      </c>
      <c r="H21" s="193">
        <f>'project 2018'!F369</f>
        <v>926</v>
      </c>
      <c r="I21" s="231">
        <f>'project 2018'!F360</f>
        <v>926</v>
      </c>
      <c r="J21" s="116"/>
      <c r="L21" s="288"/>
      <c r="M21" s="403"/>
      <c r="N21" s="433"/>
      <c r="O21" s="554"/>
      <c r="P21" s="403" t="s">
        <v>224</v>
      </c>
      <c r="Q21" s="353"/>
      <c r="R21" s="542">
        <f>SUM(R7:R20)</f>
        <v>8954.1299999999974</v>
      </c>
      <c r="S21" s="438">
        <f>SUM(S7:S20)</f>
        <v>28172</v>
      </c>
      <c r="T21" s="194"/>
    </row>
    <row r="22" spans="1:21" ht="16.2" thickBot="1" x14ac:dyDescent="0.35">
      <c r="A22" s="192"/>
      <c r="B22" s="7"/>
      <c r="D22" s="7"/>
      <c r="E22" s="4"/>
      <c r="F22" s="221"/>
      <c r="G22" s="221"/>
      <c r="H22" s="193">
        <f>SUM(H10:H21)</f>
        <v>3954.1299999999928</v>
      </c>
      <c r="I22" s="231"/>
      <c r="J22" s="221"/>
      <c r="L22" s="314"/>
      <c r="M22" s="466"/>
      <c r="N22" s="466"/>
      <c r="O22" s="554"/>
      <c r="P22" s="444" t="s">
        <v>163</v>
      </c>
      <c r="Q22" s="445"/>
      <c r="R22" s="543">
        <f>R23-R21</f>
        <v>2757.330000000009</v>
      </c>
      <c r="S22" s="446">
        <f>S23-S21</f>
        <v>1591.6100000000006</v>
      </c>
      <c r="T22" s="194"/>
    </row>
    <row r="23" spans="1:21" ht="15.6" thickBot="1" x14ac:dyDescent="0.3">
      <c r="A23" s="366" t="s">
        <v>205</v>
      </c>
      <c r="B23" s="299"/>
      <c r="C23" s="299">
        <f>SUM(C8:C14)</f>
        <v>4658.4600000000073</v>
      </c>
      <c r="D23" s="299">
        <f>SUM(D8:D14)</f>
        <v>13088.61</v>
      </c>
      <c r="E23" s="300"/>
      <c r="F23" s="301"/>
      <c r="G23" s="301"/>
      <c r="H23" s="299">
        <f>C23</f>
        <v>4658.4600000000073</v>
      </c>
      <c r="I23" s="303">
        <f>D23</f>
        <v>13088.61</v>
      </c>
      <c r="J23" s="299"/>
      <c r="K23" s="116"/>
      <c r="L23" s="560" t="s">
        <v>79</v>
      </c>
      <c r="M23" s="561">
        <f>SUM(M7:M19)</f>
        <v>11711.460000000006</v>
      </c>
      <c r="N23" s="561">
        <f>SUM(N7:N19)</f>
        <v>29763.61</v>
      </c>
      <c r="O23" s="577"/>
      <c r="P23" s="572" t="s">
        <v>79</v>
      </c>
      <c r="Q23" s="562"/>
      <c r="R23" s="561">
        <f>M23</f>
        <v>11711.460000000006</v>
      </c>
      <c r="S23" s="563">
        <f>N23</f>
        <v>29763.61</v>
      </c>
      <c r="T23" s="190"/>
    </row>
    <row r="24" spans="1:21" ht="15.6" thickBot="1" x14ac:dyDescent="0.3">
      <c r="A24" s="309"/>
      <c r="B24" s="310"/>
      <c r="C24" s="310"/>
      <c r="D24" s="310"/>
      <c r="E24" s="311"/>
      <c r="F24" s="432"/>
      <c r="G24" s="310"/>
      <c r="H24" s="310"/>
      <c r="I24" s="579"/>
      <c r="L24" s="564"/>
      <c r="M24" s="565"/>
      <c r="N24" s="565"/>
      <c r="O24" s="566"/>
      <c r="P24" s="567"/>
      <c r="Q24" s="568"/>
      <c r="R24" s="568"/>
      <c r="S24" s="569"/>
      <c r="T24" s="190"/>
    </row>
    <row r="25" spans="1:21" ht="15.6" thickBot="1" x14ac:dyDescent="0.3">
      <c r="A25" s="309"/>
      <c r="B25" s="310"/>
      <c r="C25" s="310"/>
      <c r="D25" s="310"/>
      <c r="E25" s="311"/>
      <c r="H25" s="116"/>
      <c r="I25" s="51"/>
      <c r="L25" s="570" t="s">
        <v>415</v>
      </c>
      <c r="M25" s="49"/>
      <c r="N25" s="517"/>
      <c r="O25" s="236"/>
      <c r="P25" s="555" t="s">
        <v>418</v>
      </c>
      <c r="Q25" s="556"/>
      <c r="R25" s="556"/>
      <c r="S25" s="434"/>
      <c r="T25" s="571"/>
      <c r="U25" s="49"/>
    </row>
    <row r="26" spans="1:21" ht="15.6" thickBot="1" x14ac:dyDescent="0.3">
      <c r="A26" s="269" t="s">
        <v>412</v>
      </c>
      <c r="B26" s="32"/>
      <c r="C26" s="452">
        <f>C23-D23</f>
        <v>-8430.1499999999942</v>
      </c>
      <c r="D26" s="609"/>
      <c r="E26" s="271"/>
      <c r="F26" s="270"/>
      <c r="G26" s="270"/>
      <c r="H26" s="516"/>
      <c r="I26" s="580"/>
      <c r="L26" s="547" t="s">
        <v>416</v>
      </c>
      <c r="M26" s="548"/>
      <c r="N26" s="549"/>
      <c r="O26" s="578"/>
      <c r="P26" s="548"/>
      <c r="Q26" s="550"/>
      <c r="R26" s="551"/>
      <c r="S26" s="552"/>
      <c r="T26" s="553"/>
      <c r="U26" s="49"/>
    </row>
    <row r="27" spans="1:21" ht="15.6" x14ac:dyDescent="0.3">
      <c r="A27" s="841" t="s">
        <v>410</v>
      </c>
      <c r="B27" s="842"/>
      <c r="C27" s="842"/>
      <c r="D27" s="842"/>
      <c r="E27" s="842"/>
      <c r="F27" s="842"/>
      <c r="G27" s="842"/>
      <c r="H27" s="842"/>
      <c r="I27" s="843"/>
      <c r="L27" s="328"/>
      <c r="M27" s="328"/>
      <c r="N27" s="422"/>
      <c r="Q27" s="348"/>
      <c r="R27" s="348"/>
      <c r="S27" s="434"/>
    </row>
    <row r="28" spans="1:21" ht="13.8" x14ac:dyDescent="0.25">
      <c r="A28" s="321" t="s">
        <v>175</v>
      </c>
      <c r="B28" s="322"/>
      <c r="C28" s="322"/>
      <c r="D28" s="322"/>
      <c r="E28" s="324"/>
      <c r="F28" s="219" t="s">
        <v>176</v>
      </c>
      <c r="G28" s="219"/>
      <c r="H28" s="219"/>
      <c r="I28" s="454"/>
      <c r="L28" s="328"/>
      <c r="M28" s="328"/>
      <c r="N28" s="557"/>
      <c r="Q28" s="348"/>
      <c r="R28" s="348"/>
      <c r="S28" s="434"/>
    </row>
    <row r="29" spans="1:21" x14ac:dyDescent="0.25">
      <c r="A29" s="23"/>
      <c r="C29">
        <v>2018</v>
      </c>
      <c r="D29">
        <v>2017</v>
      </c>
      <c r="E29" s="224"/>
      <c r="H29">
        <v>2018</v>
      </c>
      <c r="I29" s="51">
        <v>2017</v>
      </c>
      <c r="L29" s="328"/>
      <c r="M29" s="328"/>
      <c r="N29" s="422"/>
      <c r="Q29" s="348"/>
      <c r="R29" s="348"/>
      <c r="S29" s="434"/>
    </row>
    <row r="30" spans="1:21" ht="13.8" x14ac:dyDescent="0.25">
      <c r="A30" s="42"/>
      <c r="B30" s="1"/>
      <c r="C30" s="1"/>
      <c r="D30" s="1"/>
      <c r="F30" s="7" t="s">
        <v>210</v>
      </c>
      <c r="G30" s="1" t="str">
        <f>'project 2018'!E6</f>
        <v>nr.1</v>
      </c>
      <c r="H30" s="116">
        <f>-'project 2018'!F21</f>
        <v>232.6</v>
      </c>
      <c r="I30" s="194">
        <f>-'project 2018'!F16</f>
        <v>158.30000000000001</v>
      </c>
      <c r="L30" s="328"/>
      <c r="M30" s="328"/>
      <c r="N30" s="422"/>
      <c r="O30" s="116"/>
      <c r="P30" s="116"/>
      <c r="Q30" s="348"/>
      <c r="R30" s="348"/>
      <c r="S30" s="434"/>
      <c r="T30" s="116"/>
    </row>
    <row r="31" spans="1:21" x14ac:dyDescent="0.25">
      <c r="A31" s="192" t="s">
        <v>194</v>
      </c>
      <c r="B31" s="7" t="str">
        <f>'project 2018'!E6</f>
        <v>nr.1</v>
      </c>
      <c r="C31" s="193">
        <f>'project 2018'!F25</f>
        <v>0.08</v>
      </c>
      <c r="D31" s="193">
        <v>1.1299999999999999</v>
      </c>
      <c r="E31" s="7"/>
      <c r="F31" s="106" t="str">
        <f>'project 2018'!B30</f>
        <v>SC Johnson/ aanpassen tuin</v>
      </c>
      <c r="G31" t="str">
        <f>'project 2018'!E30</f>
        <v>nr. 2</v>
      </c>
      <c r="H31" s="116">
        <f>-'project 2018'!F40</f>
        <v>598.16999999999996</v>
      </c>
      <c r="I31" s="194"/>
      <c r="L31" s="328"/>
      <c r="M31" s="328"/>
      <c r="N31" s="328"/>
      <c r="O31" s="116"/>
      <c r="P31" s="116"/>
      <c r="Q31" s="348"/>
      <c r="R31" s="348"/>
      <c r="S31" s="434"/>
      <c r="T31" s="116"/>
    </row>
    <row r="32" spans="1:21" x14ac:dyDescent="0.25">
      <c r="A32" s="192" t="s">
        <v>67</v>
      </c>
      <c r="B32" s="7" t="str">
        <f>'project 2018'!E60</f>
        <v>nr.4</v>
      </c>
      <c r="C32" s="193">
        <f>'project 2018'!F122</f>
        <v>1.94</v>
      </c>
      <c r="D32" s="193">
        <v>213.92</v>
      </c>
      <c r="E32" s="7"/>
      <c r="F32" s="7" t="s">
        <v>191</v>
      </c>
      <c r="G32" s="7" t="str">
        <f>'project 2018'!E49</f>
        <v>nr.3</v>
      </c>
      <c r="H32" s="116">
        <v>0</v>
      </c>
      <c r="I32" s="194">
        <f>-'project 2018'!F55</f>
        <v>0.63</v>
      </c>
      <c r="L32" s="328"/>
      <c r="M32" s="328"/>
      <c r="N32" s="557"/>
      <c r="O32" s="116"/>
      <c r="P32" s="116"/>
      <c r="Q32" s="348"/>
      <c r="R32" s="348"/>
      <c r="S32" s="434"/>
      <c r="T32" s="116"/>
    </row>
    <row r="33" spans="1:20" x14ac:dyDescent="0.25">
      <c r="A33" s="25" t="str">
        <f>'project 2018'!B164</f>
        <v>50 dingen boekje</v>
      </c>
      <c r="B33" t="str">
        <f>'project 2018'!E164</f>
        <v>nr.7</v>
      </c>
      <c r="C33" s="193">
        <f>'project 2018'!F222</f>
        <v>1.68</v>
      </c>
      <c r="D33" s="116">
        <f>'project 2018'!F196</f>
        <v>103.28999999999999</v>
      </c>
      <c r="E33" s="7"/>
      <c r="F33" s="7" t="s">
        <v>211</v>
      </c>
      <c r="G33" s="7" t="str">
        <f>'project 2018'!E60</f>
        <v>nr.4</v>
      </c>
      <c r="H33" s="116">
        <f>-'project 2018'!F118</f>
        <v>120.32000000000001</v>
      </c>
      <c r="I33" s="194">
        <f>-'project 2018'!F101</f>
        <v>179.83</v>
      </c>
      <c r="J33" s="221"/>
      <c r="K33" s="193"/>
      <c r="O33" s="116"/>
      <c r="P33" s="116"/>
      <c r="Q33" s="348"/>
      <c r="R33" s="348"/>
      <c r="S33" s="434"/>
      <c r="T33" s="116"/>
    </row>
    <row r="34" spans="1:20" x14ac:dyDescent="0.25">
      <c r="A34" s="192" t="str">
        <f>'project 2018'!B227</f>
        <v>Basis onderwijs</v>
      </c>
      <c r="B34" t="str">
        <f>'project 2018'!E227</f>
        <v>nr.8</v>
      </c>
      <c r="C34" s="116">
        <f>'project 2018'!F242</f>
        <v>3000</v>
      </c>
      <c r="D34" s="116">
        <f>'project 2018'!F235</f>
        <v>1500</v>
      </c>
      <c r="E34" s="7"/>
      <c r="F34" s="7" t="s">
        <v>45</v>
      </c>
      <c r="G34" s="7" t="str">
        <f>'project 2018'!E126</f>
        <v>nr.5</v>
      </c>
      <c r="H34" s="116">
        <v>0</v>
      </c>
      <c r="I34" s="194">
        <v>2084</v>
      </c>
      <c r="J34" s="221"/>
      <c r="K34" s="193"/>
      <c r="O34" s="116"/>
      <c r="P34" s="193"/>
      <c r="Q34" s="356"/>
      <c r="R34" s="356"/>
      <c r="S34" s="439"/>
      <c r="T34" s="116"/>
    </row>
    <row r="35" spans="1:20" x14ac:dyDescent="0.25">
      <c r="A35" s="344" t="str">
        <f>'project 2016'!C129</f>
        <v>Donatie St. De Ronde Venen</v>
      </c>
      <c r="B35" t="str">
        <f>'project 2018'!E280</f>
        <v>nr.11</v>
      </c>
      <c r="C35" s="116">
        <f>'project 2018'!F345</f>
        <v>7950.77</v>
      </c>
      <c r="D35" s="116">
        <f>'project 2018'!F299</f>
        <v>9982.2800000000007</v>
      </c>
      <c r="E35" s="7"/>
      <c r="F35" s="7" t="s">
        <v>308</v>
      </c>
      <c r="G35" s="7" t="str">
        <f>'project 2018'!E137</f>
        <v>nr.6</v>
      </c>
      <c r="H35" s="116">
        <f>'project 2018'!F155</f>
        <v>0</v>
      </c>
      <c r="I35" s="194">
        <f>-'project 2018'!F150</f>
        <v>68.7</v>
      </c>
      <c r="J35" s="221"/>
      <c r="K35" s="193"/>
      <c r="O35" s="116"/>
      <c r="P35" s="116"/>
      <c r="Q35" s="348"/>
      <c r="R35" s="348"/>
      <c r="S35" s="434"/>
      <c r="T35" s="116"/>
    </row>
    <row r="36" spans="1:20" x14ac:dyDescent="0.25">
      <c r="A36" s="344" t="str">
        <f>'project 2018'!B351</f>
        <v>Stimulering NME</v>
      </c>
      <c r="B36" t="str">
        <f>'project 2018'!E351</f>
        <v>nr 12</v>
      </c>
      <c r="C36" s="116">
        <f>'project 2018'!F368</f>
        <v>0</v>
      </c>
      <c r="D36" s="116">
        <f>'project 2018'!F353</f>
        <v>2000</v>
      </c>
      <c r="E36" s="221"/>
      <c r="F36" s="7" t="s">
        <v>83</v>
      </c>
      <c r="G36" t="str">
        <f>'project 2018'!E164</f>
        <v>nr.7</v>
      </c>
      <c r="H36" s="116">
        <f>-'project 2018'!F218</f>
        <v>2475.85</v>
      </c>
      <c r="I36" s="194">
        <f>-'project 2018'!F203</f>
        <v>718.76</v>
      </c>
      <c r="J36" s="221"/>
      <c r="K36" s="193"/>
      <c r="O36" s="116"/>
      <c r="P36" s="116"/>
      <c r="Q36" s="348"/>
      <c r="R36" s="348"/>
      <c r="S36" s="434"/>
      <c r="T36" s="116"/>
    </row>
    <row r="37" spans="1:20" x14ac:dyDescent="0.25">
      <c r="A37" s="344"/>
      <c r="C37" s="116"/>
      <c r="D37" s="116"/>
      <c r="E37" s="221"/>
      <c r="F37" s="284" t="str">
        <f>'project 2016'!C132</f>
        <v>stimuler.bijdr NME ODRU</v>
      </c>
      <c r="G37" t="str">
        <f>'project 2018'!E227</f>
        <v>nr.8</v>
      </c>
      <c r="H37" s="116">
        <f>-'project 2018'!F240</f>
        <v>3000</v>
      </c>
      <c r="I37" s="194">
        <v>0</v>
      </c>
      <c r="J37" s="221"/>
      <c r="O37" s="116"/>
      <c r="P37" s="116"/>
      <c r="Q37" s="348"/>
      <c r="R37" s="348"/>
      <c r="S37" s="434"/>
      <c r="T37" s="116"/>
    </row>
    <row r="38" spans="1:20" x14ac:dyDescent="0.25">
      <c r="A38" s="192"/>
      <c r="B38" s="7"/>
      <c r="C38" s="7"/>
      <c r="D38" s="7"/>
      <c r="E38" s="221"/>
      <c r="F38" t="str">
        <f>'project 2018'!B280</f>
        <v>25 jarig bestaan</v>
      </c>
      <c r="G38" t="str">
        <f>'project 2018'!E280</f>
        <v>nr.11</v>
      </c>
      <c r="H38" s="116">
        <f>-'project 2018'!F339</f>
        <v>12957.68</v>
      </c>
      <c r="I38" s="194">
        <f>-'project 2018'!F326</f>
        <v>18605.950000000004</v>
      </c>
      <c r="L38" s="7"/>
      <c r="M38" s="7"/>
      <c r="N38" s="7"/>
      <c r="O38" s="116"/>
      <c r="P38" s="116"/>
      <c r="Q38" s="348"/>
      <c r="R38" s="348"/>
      <c r="S38" s="434"/>
      <c r="T38" s="116"/>
    </row>
    <row r="39" spans="1:20" x14ac:dyDescent="0.25">
      <c r="A39" s="192"/>
      <c r="B39" s="7"/>
      <c r="C39" s="7"/>
      <c r="D39" s="7"/>
      <c r="E39" s="221"/>
      <c r="F39" t="str">
        <f>'project 2018'!B351</f>
        <v>Stimulering NME</v>
      </c>
      <c r="G39" t="str">
        <f>'project 2018'!E351</f>
        <v>nr 12</v>
      </c>
      <c r="H39" s="116">
        <f>'project 2018'!F364</f>
        <v>0</v>
      </c>
      <c r="I39" s="194">
        <f>-'project 2018'!F358</f>
        <v>1074</v>
      </c>
      <c r="L39" s="7"/>
      <c r="M39" s="7"/>
      <c r="N39" s="7"/>
      <c r="O39" s="116"/>
      <c r="P39" s="116"/>
      <c r="Q39" s="348"/>
      <c r="R39" s="348"/>
      <c r="S39" s="434"/>
      <c r="T39" s="193"/>
    </row>
    <row r="40" spans="1:20" x14ac:dyDescent="0.25">
      <c r="A40" s="192"/>
      <c r="B40" s="7"/>
      <c r="C40" s="7"/>
      <c r="D40" s="7"/>
      <c r="E40" s="221"/>
      <c r="H40" s="434"/>
      <c r="I40" s="194"/>
      <c r="L40" s="7"/>
      <c r="M40" s="7"/>
      <c r="N40" s="7"/>
      <c r="O40" s="116"/>
      <c r="P40" s="116"/>
      <c r="Q40" s="348"/>
      <c r="R40" s="348"/>
      <c r="S40" s="434"/>
      <c r="T40" s="193"/>
    </row>
    <row r="41" spans="1:20" x14ac:dyDescent="0.25">
      <c r="A41" s="360" t="s">
        <v>219</v>
      </c>
      <c r="B41" s="361"/>
      <c r="C41" s="362">
        <f>SUM(C31:C39)</f>
        <v>10954.470000000001</v>
      </c>
      <c r="D41" s="362">
        <v>13800.630000000001</v>
      </c>
      <c r="E41" s="329"/>
      <c r="F41" s="361" t="s">
        <v>218</v>
      </c>
      <c r="G41" s="361"/>
      <c r="H41" s="544">
        <f>SUM(H30:H39)</f>
        <v>19384.620000000003</v>
      </c>
      <c r="I41" s="581">
        <f>SUM(I30:I39)</f>
        <v>22890.170000000006</v>
      </c>
      <c r="P41" s="116"/>
      <c r="Q41" s="348"/>
      <c r="R41" s="348"/>
      <c r="S41" s="434"/>
    </row>
    <row r="42" spans="1:20" ht="15.6" x14ac:dyDescent="0.3">
      <c r="A42" s="23"/>
      <c r="E42" s="221"/>
      <c r="F42" s="346" t="s">
        <v>411</v>
      </c>
      <c r="H42" s="545">
        <f>C41-H41</f>
        <v>-8430.1500000000015</v>
      </c>
      <c r="I42" s="582"/>
      <c r="P42" s="202"/>
      <c r="Q42" s="357"/>
      <c r="R42" s="357"/>
      <c r="S42" s="440"/>
    </row>
    <row r="43" spans="1:20" ht="13.8" x14ac:dyDescent="0.25">
      <c r="A43" s="192"/>
      <c r="E43" s="221"/>
      <c r="F43" s="6" t="s">
        <v>309</v>
      </c>
      <c r="G43" s="6"/>
      <c r="H43" s="6"/>
      <c r="I43" s="583">
        <f>C41-I41</f>
        <v>-11935.700000000004</v>
      </c>
      <c r="Q43" s="348"/>
      <c r="R43" s="348"/>
      <c r="S43" s="434"/>
    </row>
    <row r="44" spans="1:20" ht="13.8" thickBot="1" x14ac:dyDescent="0.3">
      <c r="A44" s="330"/>
      <c r="B44" s="331"/>
      <c r="C44" s="331"/>
      <c r="D44" s="608"/>
      <c r="E44" s="334"/>
      <c r="F44" s="331"/>
      <c r="G44" s="331"/>
      <c r="H44" s="331"/>
      <c r="I44" s="461"/>
      <c r="Q44" s="348"/>
      <c r="R44" s="348"/>
      <c r="S44" s="434"/>
    </row>
    <row r="45" spans="1:20" ht="14.4" thickTop="1" x14ac:dyDescent="0.25">
      <c r="A45" s="42"/>
      <c r="B45" s="1"/>
      <c r="C45" s="1"/>
      <c r="D45" s="1"/>
      <c r="E45" s="324"/>
      <c r="I45" s="51"/>
      <c r="Q45" s="348"/>
      <c r="R45" s="348"/>
      <c r="S45" s="434"/>
    </row>
    <row r="46" spans="1:20" ht="15" x14ac:dyDescent="0.25">
      <c r="A46" s="844" t="s">
        <v>200</v>
      </c>
      <c r="B46" s="845"/>
      <c r="C46" s="845"/>
      <c r="D46" s="845"/>
      <c r="E46" s="845"/>
      <c r="F46" s="845"/>
      <c r="G46" s="845"/>
      <c r="H46" s="845"/>
      <c r="I46" s="846"/>
      <c r="Q46" s="348"/>
      <c r="R46" s="348"/>
      <c r="S46" s="434"/>
    </row>
    <row r="47" spans="1:20" ht="13.8" x14ac:dyDescent="0.25">
      <c r="A47" s="337"/>
      <c r="B47" s="338"/>
      <c r="C47" s="338"/>
      <c r="D47" s="338"/>
      <c r="E47" s="324"/>
      <c r="I47" s="51"/>
      <c r="Q47" s="348"/>
      <c r="R47" s="348"/>
      <c r="S47" s="434"/>
    </row>
    <row r="48" spans="1:20" x14ac:dyDescent="0.25">
      <c r="A48" s="847" t="s">
        <v>201</v>
      </c>
      <c r="B48" s="848"/>
      <c r="C48" s="848"/>
      <c r="D48" s="848"/>
      <c r="E48" s="848"/>
      <c r="F48" s="848"/>
      <c r="G48" s="848"/>
      <c r="H48" s="848"/>
      <c r="I48" s="849"/>
      <c r="Q48" s="348"/>
      <c r="R48" s="348"/>
      <c r="S48" s="434"/>
    </row>
    <row r="49" spans="1:19" ht="14.4" thickBot="1" x14ac:dyDescent="0.3">
      <c r="A49" s="339"/>
      <c r="B49" s="340"/>
      <c r="C49" s="340"/>
      <c r="D49" s="340"/>
      <c r="E49" s="342"/>
      <c r="F49" s="215"/>
      <c r="G49" s="215"/>
      <c r="H49" s="215"/>
      <c r="I49" s="216"/>
      <c r="Q49" s="348"/>
      <c r="R49" s="348"/>
      <c r="S49" s="434"/>
    </row>
    <row r="50" spans="1:19" ht="13.8" x14ac:dyDescent="0.25">
      <c r="E50" s="324"/>
      <c r="Q50" s="348"/>
      <c r="R50" s="348"/>
      <c r="S50" s="434"/>
    </row>
    <row r="51" spans="1:19" x14ac:dyDescent="0.25">
      <c r="S51" s="434"/>
    </row>
  </sheetData>
  <mergeCells count="4">
    <mergeCell ref="A4:I4"/>
    <mergeCell ref="A27:I27"/>
    <mergeCell ref="A46:I46"/>
    <mergeCell ref="A48:I48"/>
  </mergeCells>
  <pageMargins left="0.7" right="0.7" top="0.75" bottom="0.75" header="0.3" footer="0.3"/>
  <pageSetup paperSize="9" scale="77" orientation="landscape" horizontalDpi="360" verticalDpi="36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O376"/>
  <sheetViews>
    <sheetView workbookViewId="0">
      <selection activeCell="B1" sqref="B1:H377"/>
    </sheetView>
  </sheetViews>
  <sheetFormatPr defaultRowHeight="13.2" x14ac:dyDescent="0.25"/>
  <cols>
    <col min="2" max="2" width="14.88671875" customWidth="1"/>
    <col min="3" max="3" width="11.88671875" customWidth="1"/>
    <col min="4" max="4" width="13.44140625" customWidth="1"/>
    <col min="5" max="6" width="17.6640625" customWidth="1"/>
    <col min="7" max="7" width="3.88671875" customWidth="1"/>
    <col min="8" max="8" width="17.109375" customWidth="1"/>
    <col min="10" max="10" width="22.44140625" customWidth="1"/>
    <col min="11" max="12" width="16" customWidth="1"/>
    <col min="13" max="13" width="15.6640625" customWidth="1"/>
    <col min="14" max="14" width="9.109375" customWidth="1"/>
    <col min="15" max="15" width="18.44140625" customWidth="1"/>
  </cols>
  <sheetData>
    <row r="1" spans="1:10" ht="21" x14ac:dyDescent="0.4">
      <c r="B1" s="150" t="s">
        <v>361</v>
      </c>
      <c r="H1" t="s">
        <v>360</v>
      </c>
    </row>
    <row r="2" spans="1:10" ht="17.399999999999999" x14ac:dyDescent="0.3">
      <c r="B2" s="250">
        <f>'31 dec 2019'!C7</f>
        <v>43830</v>
      </c>
    </row>
    <row r="4" spans="1:10" ht="13.8" thickBot="1" x14ac:dyDescent="0.3"/>
    <row r="5" spans="1:10" ht="13.8" thickBot="1" x14ac:dyDescent="0.3">
      <c r="B5" s="368" t="s">
        <v>130</v>
      </c>
      <c r="C5" s="369"/>
      <c r="D5" s="370"/>
    </row>
    <row r="6" spans="1:10" ht="15.6" x14ac:dyDescent="0.3">
      <c r="A6" s="95"/>
      <c r="B6" s="223" t="s">
        <v>1</v>
      </c>
      <c r="C6" s="376"/>
      <c r="D6" s="376"/>
      <c r="E6" s="199" t="s">
        <v>110</v>
      </c>
      <c r="F6" s="153" t="s">
        <v>129</v>
      </c>
    </row>
    <row r="7" spans="1:10" ht="15.6" x14ac:dyDescent="0.3">
      <c r="B7" s="108"/>
      <c r="C7" s="96" t="s">
        <v>61</v>
      </c>
      <c r="D7" s="95"/>
      <c r="E7" s="95"/>
      <c r="F7" s="104">
        <f>'project 2016'!F9</f>
        <v>696.17</v>
      </c>
    </row>
    <row r="8" spans="1:10" ht="15.6" x14ac:dyDescent="0.3">
      <c r="B8" s="159"/>
      <c r="C8" s="154" t="s">
        <v>80</v>
      </c>
      <c r="D8" s="155"/>
      <c r="E8" s="155"/>
      <c r="F8" s="160"/>
    </row>
    <row r="9" spans="1:10" ht="15.6" x14ac:dyDescent="0.3">
      <c r="B9" s="159"/>
      <c r="C9" s="154" t="s">
        <v>63</v>
      </c>
      <c r="D9" s="155"/>
      <c r="E9" s="155"/>
      <c r="F9" s="160">
        <v>2.17</v>
      </c>
    </row>
    <row r="10" spans="1:10" ht="15.6" x14ac:dyDescent="0.3">
      <c r="B10" s="159">
        <v>42612</v>
      </c>
      <c r="C10" s="154" t="s">
        <v>126</v>
      </c>
      <c r="D10" s="155"/>
      <c r="E10" s="155"/>
      <c r="F10" s="160">
        <f>-308.65</f>
        <v>-308.64999999999998</v>
      </c>
    </row>
    <row r="11" spans="1:10" ht="17.399999999999999" x14ac:dyDescent="0.3">
      <c r="B11" s="378">
        <v>42735</v>
      </c>
      <c r="C11" s="228" t="s">
        <v>2</v>
      </c>
      <c r="D11" s="226"/>
      <c r="E11" s="168"/>
      <c r="F11" s="172">
        <f>'project 2016'!F13</f>
        <v>389.68999999999994</v>
      </c>
      <c r="G11" s="501"/>
      <c r="H11" s="7"/>
    </row>
    <row r="12" spans="1:10" ht="15.6" x14ac:dyDescent="0.3">
      <c r="B12" s="402">
        <v>42736</v>
      </c>
      <c r="C12" s="401" t="s">
        <v>63</v>
      </c>
      <c r="D12" s="401"/>
      <c r="E12" s="401"/>
      <c r="F12" s="160">
        <v>1.1299999999999999</v>
      </c>
      <c r="G12" s="95"/>
      <c r="H12" s="7" t="s">
        <v>329</v>
      </c>
    </row>
    <row r="13" spans="1:10" ht="15.6" x14ac:dyDescent="0.3">
      <c r="B13" s="402" t="s">
        <v>176</v>
      </c>
      <c r="C13" s="401"/>
      <c r="D13" s="401"/>
      <c r="E13" s="401"/>
      <c r="F13" s="160"/>
      <c r="H13" s="7"/>
    </row>
    <row r="14" spans="1:10" ht="15.6" x14ac:dyDescent="0.3">
      <c r="B14" s="402">
        <v>42912</v>
      </c>
      <c r="C14" s="401" t="s">
        <v>256</v>
      </c>
      <c r="D14" s="401"/>
      <c r="E14" s="401"/>
      <c r="F14" s="160">
        <v>-48.2</v>
      </c>
      <c r="G14" s="95"/>
      <c r="H14" s="7" t="s">
        <v>325</v>
      </c>
    </row>
    <row r="15" spans="1:10" ht="15.6" x14ac:dyDescent="0.3">
      <c r="B15" s="402">
        <v>43025</v>
      </c>
      <c r="C15" s="401" t="s">
        <v>275</v>
      </c>
      <c r="D15" s="401"/>
      <c r="E15" s="401"/>
      <c r="F15" s="160">
        <v>-110.1</v>
      </c>
      <c r="G15" s="95"/>
      <c r="H15" s="7" t="s">
        <v>325</v>
      </c>
      <c r="J15" s="425" t="s">
        <v>352</v>
      </c>
    </row>
    <row r="16" spans="1:10" ht="15.6" x14ac:dyDescent="0.3">
      <c r="B16" s="402" t="s">
        <v>304</v>
      </c>
      <c r="C16" s="450"/>
      <c r="D16" s="401"/>
      <c r="E16" s="401"/>
      <c r="F16" s="160">
        <f>SUM(F14:F15)</f>
        <v>-158.30000000000001</v>
      </c>
      <c r="H16" s="7"/>
    </row>
    <row r="17" spans="1:11" ht="15.6" x14ac:dyDescent="0.3">
      <c r="B17" s="507">
        <v>43100</v>
      </c>
      <c r="C17" s="508" t="s">
        <v>84</v>
      </c>
      <c r="D17" s="508"/>
      <c r="E17" s="508"/>
      <c r="F17" s="104">
        <f>F11+F12+F16</f>
        <v>232.51999999999992</v>
      </c>
      <c r="G17" s="501"/>
    </row>
    <row r="18" spans="1:11" ht="15.6" x14ac:dyDescent="0.3">
      <c r="B18" s="377"/>
      <c r="C18" s="415" t="s">
        <v>362</v>
      </c>
      <c r="D18" s="415"/>
      <c r="E18" s="415"/>
      <c r="F18" s="172"/>
      <c r="G18" s="501"/>
    </row>
    <row r="19" spans="1:11" ht="15.6" x14ac:dyDescent="0.3">
      <c r="B19" s="377">
        <v>43442</v>
      </c>
      <c r="C19" s="415" t="s">
        <v>402</v>
      </c>
      <c r="D19" s="415"/>
      <c r="E19" s="415"/>
      <c r="F19" s="172">
        <f>-232.6</f>
        <v>-232.6</v>
      </c>
      <c r="G19" s="501"/>
    </row>
    <row r="20" spans="1:11" ht="15.6" x14ac:dyDescent="0.3">
      <c r="B20" s="377"/>
      <c r="C20" s="415"/>
      <c r="D20" s="415"/>
      <c r="E20" s="415"/>
      <c r="F20" s="172"/>
      <c r="G20" s="501"/>
    </row>
    <row r="21" spans="1:11" ht="15.6" x14ac:dyDescent="0.3">
      <c r="B21" s="377"/>
      <c r="C21" s="415" t="s">
        <v>364</v>
      </c>
      <c r="D21" s="415"/>
      <c r="E21" s="415"/>
      <c r="F21" s="172">
        <f>SUM(F18:F20)</f>
        <v>-232.6</v>
      </c>
      <c r="G21" s="501"/>
    </row>
    <row r="22" spans="1:11" ht="15.6" x14ac:dyDescent="0.3">
      <c r="B22" s="377"/>
      <c r="C22" s="415" t="s">
        <v>363</v>
      </c>
      <c r="D22" s="415"/>
      <c r="E22" s="415"/>
      <c r="F22" s="172"/>
      <c r="G22" s="501"/>
    </row>
    <row r="23" spans="1:11" ht="15.6" x14ac:dyDescent="0.3">
      <c r="B23" s="377">
        <v>43101</v>
      </c>
      <c r="C23" s="415" t="s">
        <v>59</v>
      </c>
      <c r="D23" s="415"/>
      <c r="E23" s="415"/>
      <c r="F23" s="172">
        <v>0.08</v>
      </c>
      <c r="G23" s="501"/>
      <c r="H23" s="7" t="s">
        <v>376</v>
      </c>
    </row>
    <row r="24" spans="1:11" ht="15.6" x14ac:dyDescent="0.3">
      <c r="B24" s="377"/>
      <c r="C24" s="415"/>
      <c r="D24" s="415"/>
      <c r="E24" s="415"/>
      <c r="F24" s="172"/>
      <c r="G24" s="501"/>
    </row>
    <row r="25" spans="1:11" ht="15.6" x14ac:dyDescent="0.3">
      <c r="B25" s="377"/>
      <c r="C25" s="415" t="s">
        <v>365</v>
      </c>
      <c r="D25" s="415"/>
      <c r="E25" s="415"/>
      <c r="F25" s="172">
        <f>SUM(F22:F24)</f>
        <v>0.08</v>
      </c>
      <c r="G25" s="501"/>
    </row>
    <row r="26" spans="1:11" ht="15.6" x14ac:dyDescent="0.3">
      <c r="B26" s="507">
        <f>B2</f>
        <v>43830</v>
      </c>
      <c r="C26" s="508" t="s">
        <v>2</v>
      </c>
      <c r="D26" s="508"/>
      <c r="E26" s="508"/>
      <c r="F26" s="104">
        <f>F17+F21+F25</f>
        <v>-6.934730567564884E-14</v>
      </c>
      <c r="G26" s="501"/>
      <c r="H26" s="226" t="s">
        <v>393</v>
      </c>
      <c r="I26" s="168"/>
      <c r="J26" s="168"/>
      <c r="K26" s="168"/>
    </row>
    <row r="27" spans="1:11" ht="16.2" thickBot="1" x14ac:dyDescent="0.35">
      <c r="B27" s="161"/>
      <c r="C27" s="143"/>
      <c r="D27" s="162"/>
      <c r="E27" s="162"/>
      <c r="F27" s="163"/>
    </row>
    <row r="29" spans="1:11" ht="13.8" thickBot="1" x14ac:dyDescent="0.3"/>
    <row r="30" spans="1:11" ht="15.6" x14ac:dyDescent="0.3">
      <c r="A30" s="95"/>
      <c r="B30" s="379" t="s">
        <v>108</v>
      </c>
      <c r="C30" s="156"/>
      <c r="D30" s="157"/>
      <c r="E30" s="199" t="s">
        <v>109</v>
      </c>
      <c r="F30" s="158"/>
    </row>
    <row r="31" spans="1:11" ht="15.6" x14ac:dyDescent="0.3">
      <c r="B31" s="108"/>
      <c r="C31" s="96" t="s">
        <v>61</v>
      </c>
      <c r="D31" s="107"/>
      <c r="E31" s="107"/>
      <c r="F31" s="109">
        <f>'project 2016'!F23</f>
        <v>598.16999999999985</v>
      </c>
    </row>
    <row r="32" spans="1:11" ht="15.6" x14ac:dyDescent="0.3">
      <c r="B32" s="121"/>
      <c r="C32" s="122" t="s">
        <v>81</v>
      </c>
      <c r="D32" s="123"/>
      <c r="E32" s="123"/>
      <c r="F32" s="124">
        <v>0</v>
      </c>
    </row>
    <row r="33" spans="2:11" ht="17.399999999999999" x14ac:dyDescent="0.3">
      <c r="B33" s="378">
        <f>B11</f>
        <v>42735</v>
      </c>
      <c r="C33" s="228" t="str">
        <f>C11</f>
        <v>Saldo</v>
      </c>
      <c r="D33" s="168"/>
      <c r="E33" s="168"/>
      <c r="F33" s="172">
        <f>'project 2016'!F23</f>
        <v>598.16999999999985</v>
      </c>
      <c r="G33" s="502"/>
    </row>
    <row r="34" spans="2:11" ht="16.2" thickBot="1" x14ac:dyDescent="0.35">
      <c r="B34" s="125"/>
      <c r="C34" s="126"/>
      <c r="D34" s="127"/>
      <c r="E34" s="127"/>
      <c r="F34" s="128"/>
    </row>
    <row r="35" spans="2:11" ht="17.399999999999999" x14ac:dyDescent="0.3">
      <c r="B35" s="378"/>
      <c r="C35" s="228" t="s">
        <v>296</v>
      </c>
      <c r="D35" s="168"/>
      <c r="E35" s="168"/>
      <c r="F35" s="172"/>
    </row>
    <row r="36" spans="2:11" ht="15.6" x14ac:dyDescent="0.3">
      <c r="B36" s="507">
        <v>43100</v>
      </c>
      <c r="C36" s="508" t="s">
        <v>84</v>
      </c>
      <c r="D36" s="508"/>
      <c r="E36" s="508"/>
      <c r="F36" s="104">
        <f>F33</f>
        <v>598.16999999999985</v>
      </c>
      <c r="G36" s="501"/>
    </row>
    <row r="37" spans="2:11" ht="15.6" x14ac:dyDescent="0.3">
      <c r="B37" s="377"/>
      <c r="C37" s="415" t="s">
        <v>362</v>
      </c>
      <c r="D37" s="415"/>
      <c r="E37" s="415"/>
      <c r="F37" s="172"/>
      <c r="G37" s="501"/>
    </row>
    <row r="38" spans="2:11" ht="15.6" x14ac:dyDescent="0.3">
      <c r="B38" s="377">
        <v>43442</v>
      </c>
      <c r="C38" s="415" t="s">
        <v>403</v>
      </c>
      <c r="D38" s="415"/>
      <c r="E38" s="415"/>
      <c r="F38" s="172">
        <f>-598.17</f>
        <v>-598.16999999999996</v>
      </c>
      <c r="G38" s="501"/>
    </row>
    <row r="39" spans="2:11" ht="15.6" x14ac:dyDescent="0.3">
      <c r="B39" s="377"/>
      <c r="C39" s="415"/>
      <c r="D39" s="415"/>
      <c r="E39" s="415"/>
      <c r="F39" s="172"/>
      <c r="G39" s="501"/>
    </row>
    <row r="40" spans="2:11" ht="15.6" x14ac:dyDescent="0.3">
      <c r="B40" s="377"/>
      <c r="C40" s="415" t="s">
        <v>364</v>
      </c>
      <c r="D40" s="415"/>
      <c r="E40" s="415"/>
      <c r="F40" s="172">
        <f>SUM(F37:F39)</f>
        <v>-598.16999999999996</v>
      </c>
      <c r="G40" s="501"/>
    </row>
    <row r="41" spans="2:11" ht="15.6" x14ac:dyDescent="0.3">
      <c r="B41" s="377"/>
      <c r="C41" s="415" t="s">
        <v>363</v>
      </c>
      <c r="D41" s="415"/>
      <c r="E41" s="415"/>
      <c r="F41" s="172"/>
      <c r="G41" s="501"/>
    </row>
    <row r="42" spans="2:11" ht="15.6" x14ac:dyDescent="0.3">
      <c r="B42" s="377"/>
      <c r="C42" s="415"/>
      <c r="D42" s="415"/>
      <c r="E42" s="415"/>
      <c r="F42" s="172"/>
      <c r="G42" s="501"/>
    </row>
    <row r="43" spans="2:11" ht="15.6" x14ac:dyDescent="0.3">
      <c r="B43" s="377"/>
      <c r="C43" s="415"/>
      <c r="D43" s="415"/>
      <c r="E43" s="415"/>
      <c r="F43" s="172"/>
      <c r="G43" s="501"/>
    </row>
    <row r="44" spans="2:11" ht="15.6" x14ac:dyDescent="0.3">
      <c r="B44" s="377"/>
      <c r="C44" s="415" t="s">
        <v>365</v>
      </c>
      <c r="D44" s="415"/>
      <c r="E44" s="415"/>
      <c r="F44" s="172">
        <f>SUM(F41:F43)</f>
        <v>0</v>
      </c>
      <c r="G44" s="501"/>
    </row>
    <row r="45" spans="2:11" ht="15.6" x14ac:dyDescent="0.3">
      <c r="B45" s="507">
        <f>B2</f>
        <v>43830</v>
      </c>
      <c r="C45" s="508" t="s">
        <v>2</v>
      </c>
      <c r="D45" s="508"/>
      <c r="E45" s="508"/>
      <c r="F45" s="104">
        <f>F36+F40+F44</f>
        <v>-1.1368683772161603E-13</v>
      </c>
      <c r="G45" s="501"/>
      <c r="H45" s="226" t="s">
        <v>393</v>
      </c>
      <c r="I45" s="168"/>
      <c r="J45" s="168"/>
      <c r="K45" s="168"/>
    </row>
    <row r="46" spans="2:11" ht="16.2" thickBot="1" x14ac:dyDescent="0.35">
      <c r="B46" s="161"/>
      <c r="C46" s="143"/>
      <c r="D46" s="162"/>
      <c r="E46" s="162"/>
      <c r="F46" s="163"/>
      <c r="G46" s="501"/>
    </row>
    <row r="47" spans="2:11" ht="15.6" x14ac:dyDescent="0.3">
      <c r="B47" s="9"/>
      <c r="C47" s="8"/>
      <c r="F47" s="10"/>
    </row>
    <row r="48" spans="2:11" ht="20.25" customHeight="1" thickBot="1" x14ac:dyDescent="0.35">
      <c r="B48" s="9"/>
      <c r="C48" s="8"/>
      <c r="F48" s="10"/>
      <c r="J48">
        <v>0</v>
      </c>
    </row>
    <row r="49" spans="1:10" ht="15.6" x14ac:dyDescent="0.3">
      <c r="A49" s="95"/>
      <c r="B49" s="223" t="s">
        <v>0</v>
      </c>
      <c r="C49" s="376"/>
      <c r="D49" s="376"/>
      <c r="E49" s="198" t="s">
        <v>111</v>
      </c>
      <c r="F49" s="153"/>
      <c r="J49">
        <v>31.440000000000012</v>
      </c>
    </row>
    <row r="50" spans="1:10" ht="15.6" x14ac:dyDescent="0.3">
      <c r="B50" s="111"/>
      <c r="C50" s="96" t="s">
        <v>61</v>
      </c>
      <c r="D50" s="96"/>
      <c r="E50" s="96"/>
      <c r="F50" s="104">
        <f>'project 2016'!F31</f>
        <v>408.81000000000023</v>
      </c>
      <c r="J50">
        <v>7537.8399999999983</v>
      </c>
    </row>
    <row r="51" spans="1:10" ht="15.6" x14ac:dyDescent="0.3">
      <c r="B51" s="121"/>
      <c r="C51" s="122" t="s">
        <v>81</v>
      </c>
      <c r="D51" s="123"/>
      <c r="E51" s="123"/>
      <c r="F51" s="124"/>
      <c r="J51">
        <v>0</v>
      </c>
    </row>
    <row r="52" spans="1:10" ht="15.6" x14ac:dyDescent="0.3">
      <c r="B52" s="121">
        <v>42696</v>
      </c>
      <c r="C52" s="122" t="s">
        <v>144</v>
      </c>
      <c r="D52" s="123"/>
      <c r="E52" s="123"/>
      <c r="F52" s="124">
        <v>-293.68</v>
      </c>
      <c r="J52">
        <v>48.66</v>
      </c>
    </row>
    <row r="53" spans="1:10" ht="15.6" x14ac:dyDescent="0.3">
      <c r="B53" s="121">
        <v>42697</v>
      </c>
      <c r="C53" s="122" t="s">
        <v>145</v>
      </c>
      <c r="D53" s="123"/>
      <c r="E53" s="123"/>
      <c r="F53" s="124">
        <v>-114.5</v>
      </c>
      <c r="J53">
        <v>0</v>
      </c>
    </row>
    <row r="54" spans="1:10" ht="17.399999999999999" x14ac:dyDescent="0.3">
      <c r="B54" s="378">
        <f>B33</f>
        <v>42735</v>
      </c>
      <c r="C54" s="228" t="str">
        <f>C33</f>
        <v>Saldo</v>
      </c>
      <c r="D54" s="168"/>
      <c r="E54" s="168"/>
      <c r="F54" s="172">
        <f>'project 2016'!F35</f>
        <v>0.63000000000022283</v>
      </c>
      <c r="G54" s="7"/>
    </row>
    <row r="55" spans="1:10" ht="17.399999999999999" x14ac:dyDescent="0.3">
      <c r="B55" s="378">
        <v>42787</v>
      </c>
      <c r="C55" s="228" t="s">
        <v>234</v>
      </c>
      <c r="D55" s="168"/>
      <c r="E55" s="168"/>
      <c r="F55" s="172">
        <f>-0.63</f>
        <v>-0.63</v>
      </c>
      <c r="G55" s="107"/>
      <c r="H55" t="s">
        <v>337</v>
      </c>
      <c r="J55">
        <v>926</v>
      </c>
    </row>
    <row r="56" spans="1:10" ht="17.399999999999999" x14ac:dyDescent="0.3">
      <c r="B56" s="378">
        <v>42787</v>
      </c>
      <c r="C56" s="228" t="s">
        <v>235</v>
      </c>
      <c r="D56" s="168"/>
      <c r="E56" s="168"/>
      <c r="F56" s="172">
        <f>F54+F55</f>
        <v>2.2282176104226892E-13</v>
      </c>
      <c r="G56" s="173"/>
    </row>
    <row r="57" spans="1:10" ht="16.2" thickBot="1" x14ac:dyDescent="0.35">
      <c r="B57" s="125"/>
      <c r="C57" s="126"/>
      <c r="D57" s="127"/>
      <c r="E57" s="127"/>
      <c r="F57" s="128"/>
    </row>
    <row r="58" spans="1:10" ht="15.6" x14ac:dyDescent="0.3">
      <c r="B58" s="13"/>
      <c r="C58" s="8"/>
      <c r="D58" s="8"/>
      <c r="E58" s="8"/>
      <c r="F58" s="8"/>
    </row>
    <row r="59" spans="1:10" ht="15.6" thickBot="1" x14ac:dyDescent="0.3">
      <c r="B59" s="13"/>
      <c r="C59" s="12"/>
      <c r="D59" s="12"/>
      <c r="E59" s="12"/>
      <c r="F59" s="14"/>
    </row>
    <row r="60" spans="1:10" ht="15.6" x14ac:dyDescent="0.3">
      <c r="A60" s="95"/>
      <c r="B60" s="382" t="s">
        <v>39</v>
      </c>
      <c r="C60" s="156"/>
      <c r="D60" s="156"/>
      <c r="E60" s="199" t="s">
        <v>112</v>
      </c>
      <c r="F60" s="383"/>
    </row>
    <row r="61" spans="1:10" ht="15.6" x14ac:dyDescent="0.3">
      <c r="B61" s="151"/>
      <c r="C61" s="96" t="s">
        <v>60</v>
      </c>
      <c r="D61" s="96"/>
      <c r="E61" s="96"/>
      <c r="F61" s="152">
        <f>'project 2016'!F50</f>
        <v>218.9500000000001</v>
      </c>
    </row>
    <row r="62" spans="1:10" ht="15.6" x14ac:dyDescent="0.3">
      <c r="B62" s="384" t="s">
        <v>81</v>
      </c>
      <c r="C62" s="154"/>
      <c r="D62" s="154"/>
      <c r="E62" s="154"/>
      <c r="F62" s="175"/>
    </row>
    <row r="63" spans="1:10" ht="15.6" x14ac:dyDescent="0.3">
      <c r="B63" s="384"/>
      <c r="C63" s="154" t="s">
        <v>59</v>
      </c>
      <c r="D63" s="154"/>
      <c r="E63" s="154"/>
      <c r="F63" s="175">
        <f>'fin overz 31 dec 2016'!J19</f>
        <v>7.78</v>
      </c>
    </row>
    <row r="64" spans="1:10" ht="15" x14ac:dyDescent="0.25">
      <c r="B64" s="135">
        <v>42376</v>
      </c>
      <c r="C64" s="208" t="s">
        <v>67</v>
      </c>
      <c r="D64" s="136"/>
      <c r="E64" s="136"/>
      <c r="F64" s="137">
        <v>-10.35</v>
      </c>
    </row>
    <row r="65" spans="2:8" ht="15" x14ac:dyDescent="0.25">
      <c r="B65" s="135">
        <v>42403</v>
      </c>
      <c r="C65" s="136" t="s">
        <v>67</v>
      </c>
      <c r="D65" s="136"/>
      <c r="E65" s="136"/>
      <c r="F65" s="137">
        <v>-10.65</v>
      </c>
    </row>
    <row r="66" spans="2:8" ht="15" x14ac:dyDescent="0.25">
      <c r="B66" s="135">
        <v>42432</v>
      </c>
      <c r="C66" s="136" t="s">
        <v>67</v>
      </c>
      <c r="D66" s="136"/>
      <c r="E66" s="136"/>
      <c r="F66" s="137">
        <v>-10.65</v>
      </c>
    </row>
    <row r="67" spans="2:8" ht="15" x14ac:dyDescent="0.25">
      <c r="B67" s="135"/>
      <c r="C67" s="208" t="s">
        <v>59</v>
      </c>
      <c r="D67" s="136"/>
      <c r="E67" s="136"/>
      <c r="F67" s="137"/>
    </row>
    <row r="68" spans="2:8" ht="15" x14ac:dyDescent="0.25">
      <c r="B68" s="135">
        <v>42465</v>
      </c>
      <c r="C68" s="136" t="s">
        <v>67</v>
      </c>
      <c r="D68" s="136"/>
      <c r="E68" s="136"/>
      <c r="F68" s="137">
        <v>-10.65</v>
      </c>
    </row>
    <row r="69" spans="2:8" ht="15" x14ac:dyDescent="0.25">
      <c r="B69" s="135">
        <v>42494</v>
      </c>
      <c r="C69" s="136" t="s">
        <v>67</v>
      </c>
      <c r="D69" s="136"/>
      <c r="E69" s="136"/>
      <c r="F69" s="137">
        <v>-10.65</v>
      </c>
    </row>
    <row r="70" spans="2:8" ht="15" x14ac:dyDescent="0.25">
      <c r="B70" s="135">
        <v>42524</v>
      </c>
      <c r="C70" s="136" t="s">
        <v>67</v>
      </c>
      <c r="D70" s="136"/>
      <c r="E70" s="136"/>
      <c r="F70" s="137">
        <v>-10.65</v>
      </c>
    </row>
    <row r="71" spans="2:8" ht="15" x14ac:dyDescent="0.25">
      <c r="B71" s="135">
        <v>42556</v>
      </c>
      <c r="C71" s="136" t="s">
        <v>67</v>
      </c>
      <c r="D71" s="136"/>
      <c r="E71" s="136"/>
      <c r="F71" s="137">
        <v>-10.65</v>
      </c>
    </row>
    <row r="72" spans="2:8" ht="15" x14ac:dyDescent="0.25">
      <c r="B72" s="135">
        <v>42585</v>
      </c>
      <c r="C72" s="136" t="s">
        <v>67</v>
      </c>
      <c r="D72" s="136"/>
      <c r="E72" s="136"/>
      <c r="F72" s="137">
        <v>-10.65</v>
      </c>
    </row>
    <row r="73" spans="2:8" ht="15" x14ac:dyDescent="0.25">
      <c r="B73" s="207">
        <v>42616</v>
      </c>
      <c r="C73" s="208" t="s">
        <v>67</v>
      </c>
      <c r="D73" s="136"/>
      <c r="E73" s="136"/>
      <c r="F73" s="137">
        <v>-10.65</v>
      </c>
    </row>
    <row r="74" spans="2:8" ht="15" x14ac:dyDescent="0.25">
      <c r="B74" s="207">
        <v>42648</v>
      </c>
      <c r="C74" s="208" t="s">
        <v>67</v>
      </c>
      <c r="D74" s="136"/>
      <c r="E74" s="136"/>
      <c r="F74" s="137">
        <v>-11.21</v>
      </c>
    </row>
    <row r="75" spans="2:8" ht="15" x14ac:dyDescent="0.25">
      <c r="B75" s="207">
        <v>42678</v>
      </c>
      <c r="C75" s="208" t="s">
        <v>67</v>
      </c>
      <c r="D75" s="136"/>
      <c r="E75" s="136"/>
      <c r="F75" s="137">
        <v>-10.09</v>
      </c>
    </row>
    <row r="76" spans="2:8" ht="15" x14ac:dyDescent="0.25">
      <c r="B76" s="207">
        <v>42707</v>
      </c>
      <c r="C76" s="208" t="s">
        <v>67</v>
      </c>
      <c r="D76" s="136"/>
      <c r="E76" s="136"/>
      <c r="F76" s="137">
        <v>-10.65</v>
      </c>
    </row>
    <row r="77" spans="2:8" ht="15" x14ac:dyDescent="0.25">
      <c r="B77" s="135"/>
      <c r="C77" s="208" t="s">
        <v>139</v>
      </c>
      <c r="D77" s="136"/>
      <c r="E77" s="136"/>
      <c r="F77" s="137">
        <f>SUM(F64:F76)</f>
        <v>-127.50000000000003</v>
      </c>
      <c r="H77" s="116"/>
    </row>
    <row r="78" spans="2:8" ht="15.6" x14ac:dyDescent="0.3">
      <c r="B78" s="151">
        <f>B54</f>
        <v>42735</v>
      </c>
      <c r="C78" s="114" t="str">
        <f>C54</f>
        <v>Saldo</v>
      </c>
      <c r="D78" s="96"/>
      <c r="E78" s="96"/>
      <c r="F78" s="152">
        <f>'project 2016'!F67</f>
        <v>99.230000000000075</v>
      </c>
    </row>
    <row r="79" spans="2:8" ht="15.6" x14ac:dyDescent="0.3">
      <c r="B79" s="384" t="s">
        <v>100</v>
      </c>
      <c r="C79" s="374"/>
      <c r="D79" s="154"/>
      <c r="E79" s="154"/>
      <c r="F79" s="175"/>
    </row>
    <row r="80" spans="2:8" ht="15.6" x14ac:dyDescent="0.3">
      <c r="B80" s="384">
        <v>42787</v>
      </c>
      <c r="C80" s="374" t="s">
        <v>232</v>
      </c>
      <c r="D80" s="154"/>
      <c r="E80" s="154"/>
      <c r="F80" s="175">
        <f>-F132</f>
        <v>200</v>
      </c>
      <c r="H80" t="s">
        <v>335</v>
      </c>
    </row>
    <row r="81" spans="2:10" ht="15.6" x14ac:dyDescent="0.3">
      <c r="B81" s="384">
        <v>42787</v>
      </c>
      <c r="C81" s="374" t="s">
        <v>236</v>
      </c>
      <c r="D81" s="154"/>
      <c r="E81" s="154"/>
      <c r="F81" s="175">
        <f>-F55</f>
        <v>0.63</v>
      </c>
      <c r="H81" t="s">
        <v>335</v>
      </c>
    </row>
    <row r="82" spans="2:10" ht="15.6" x14ac:dyDescent="0.3">
      <c r="B82" s="384">
        <v>42787</v>
      </c>
      <c r="C82" s="374" t="s">
        <v>237</v>
      </c>
      <c r="D82" s="154"/>
      <c r="E82" s="154"/>
      <c r="F82" s="175">
        <f>F193</f>
        <v>13.29</v>
      </c>
      <c r="H82" t="s">
        <v>338</v>
      </c>
    </row>
    <row r="83" spans="2:10" ht="15.6" x14ac:dyDescent="0.3">
      <c r="B83" s="387" t="s">
        <v>242</v>
      </c>
      <c r="C83" s="228"/>
      <c r="D83" s="170"/>
      <c r="E83" s="170"/>
      <c r="F83" s="210">
        <f>SUM(F80:F82)</f>
        <v>213.92</v>
      </c>
    </row>
    <row r="84" spans="2:10" ht="15.6" x14ac:dyDescent="0.3">
      <c r="B84" s="384" t="s">
        <v>176</v>
      </c>
      <c r="C84" s="374"/>
      <c r="D84" s="154"/>
      <c r="E84" s="154"/>
      <c r="F84" s="175"/>
    </row>
    <row r="85" spans="2:10" ht="15.6" x14ac:dyDescent="0.3">
      <c r="B85" s="384">
        <v>42739</v>
      </c>
      <c r="C85" s="374" t="s">
        <v>67</v>
      </c>
      <c r="D85" s="154"/>
      <c r="E85" s="154"/>
      <c r="F85" s="175">
        <v>-10.65</v>
      </c>
      <c r="G85" s="95"/>
      <c r="H85" t="s">
        <v>330</v>
      </c>
    </row>
    <row r="86" spans="2:10" ht="15.6" x14ac:dyDescent="0.3">
      <c r="B86" s="384">
        <v>43134</v>
      </c>
      <c r="C86" s="374" t="s">
        <v>67</v>
      </c>
      <c r="D86" s="154"/>
      <c r="E86" s="154"/>
      <c r="F86" s="175">
        <v>-10.9</v>
      </c>
      <c r="G86" s="95"/>
      <c r="H86" t="s">
        <v>330</v>
      </c>
      <c r="I86" s="506" t="s">
        <v>348</v>
      </c>
      <c r="J86" s="506"/>
    </row>
    <row r="87" spans="2:10" ht="15.6" x14ac:dyDescent="0.3">
      <c r="B87" s="384">
        <v>42787</v>
      </c>
      <c r="C87" s="374" t="s">
        <v>241</v>
      </c>
      <c r="D87" s="154"/>
      <c r="E87" s="154"/>
      <c r="F87" s="175">
        <f>-F276</f>
        <v>-9.9999999999909051E-3</v>
      </c>
      <c r="G87" s="95"/>
      <c r="H87" t="s">
        <v>335</v>
      </c>
    </row>
    <row r="88" spans="2:10" ht="15.6" x14ac:dyDescent="0.3">
      <c r="B88" s="384">
        <v>42798</v>
      </c>
      <c r="C88" s="374" t="s">
        <v>67</v>
      </c>
      <c r="D88" s="154"/>
      <c r="E88" s="154"/>
      <c r="F88" s="175">
        <v>-17.8</v>
      </c>
      <c r="G88" s="95"/>
      <c r="H88" t="s">
        <v>330</v>
      </c>
    </row>
    <row r="89" spans="2:10" ht="15.6" x14ac:dyDescent="0.3">
      <c r="B89" s="384">
        <v>42829</v>
      </c>
      <c r="C89" s="374" t="s">
        <v>67</v>
      </c>
      <c r="D89" s="154"/>
      <c r="E89" s="154"/>
      <c r="F89" s="175">
        <v>-4</v>
      </c>
      <c r="G89" s="95"/>
      <c r="H89" t="s">
        <v>330</v>
      </c>
    </row>
    <row r="90" spans="2:10" ht="15.6" x14ac:dyDescent="0.3">
      <c r="B90" s="384">
        <v>42859</v>
      </c>
      <c r="C90" s="374" t="s">
        <v>67</v>
      </c>
      <c r="D90" s="154"/>
      <c r="E90" s="154"/>
      <c r="F90" s="175">
        <v>-10.9</v>
      </c>
      <c r="G90" s="95"/>
      <c r="H90" t="s">
        <v>330</v>
      </c>
    </row>
    <row r="91" spans="2:10" ht="15.6" x14ac:dyDescent="0.3">
      <c r="B91" s="384">
        <v>42874</v>
      </c>
      <c r="C91" s="374" t="s">
        <v>252</v>
      </c>
      <c r="D91" s="154"/>
      <c r="E91" s="154"/>
      <c r="F91" s="175">
        <v>-25.9</v>
      </c>
      <c r="G91" s="95"/>
      <c r="H91" t="s">
        <v>341</v>
      </c>
    </row>
    <row r="92" spans="2:10" ht="15.6" x14ac:dyDescent="0.3">
      <c r="B92" s="384">
        <v>42890</v>
      </c>
      <c r="C92" s="374" t="s">
        <v>67</v>
      </c>
      <c r="D92" s="154"/>
      <c r="E92" s="154"/>
      <c r="F92" s="175">
        <v>-11.38</v>
      </c>
      <c r="G92" s="95"/>
      <c r="H92" t="s">
        <v>330</v>
      </c>
    </row>
    <row r="93" spans="2:10" ht="15.6" x14ac:dyDescent="0.3">
      <c r="B93" s="384">
        <v>42922</v>
      </c>
      <c r="C93" s="374" t="s">
        <v>67</v>
      </c>
      <c r="D93" s="154"/>
      <c r="E93" s="154"/>
      <c r="F93" s="175">
        <v>-10.42</v>
      </c>
      <c r="G93" s="95"/>
      <c r="H93" t="s">
        <v>330</v>
      </c>
    </row>
    <row r="94" spans="2:10" ht="15.6" x14ac:dyDescent="0.3">
      <c r="B94" s="384">
        <v>42951</v>
      </c>
      <c r="C94" s="374" t="s">
        <v>67</v>
      </c>
      <c r="D94" s="154"/>
      <c r="E94" s="154"/>
      <c r="F94" s="175">
        <v>-10.9</v>
      </c>
      <c r="G94" s="95"/>
      <c r="H94" t="s">
        <v>330</v>
      </c>
    </row>
    <row r="95" spans="2:10" ht="15.6" x14ac:dyDescent="0.3">
      <c r="B95" s="384">
        <v>42970</v>
      </c>
      <c r="C95" s="374" t="s">
        <v>257</v>
      </c>
      <c r="D95" s="154"/>
      <c r="E95" s="154"/>
      <c r="F95" s="175">
        <v>-23.37</v>
      </c>
      <c r="G95" s="95"/>
      <c r="H95" t="s">
        <v>330</v>
      </c>
    </row>
    <row r="96" spans="2:10" ht="15.6" x14ac:dyDescent="0.3">
      <c r="B96" s="384">
        <v>42983</v>
      </c>
      <c r="C96" s="374" t="s">
        <v>67</v>
      </c>
      <c r="D96" s="154"/>
      <c r="E96" s="154"/>
      <c r="F96" s="175">
        <v>-10.9</v>
      </c>
      <c r="G96" s="95"/>
      <c r="H96" t="s">
        <v>330</v>
      </c>
    </row>
    <row r="97" spans="2:8" ht="15.6" x14ac:dyDescent="0.3">
      <c r="B97" s="384">
        <v>43013</v>
      </c>
      <c r="C97" s="374" t="s">
        <v>67</v>
      </c>
      <c r="D97" s="154"/>
      <c r="E97" s="154"/>
      <c r="F97" s="175">
        <v>-10.9</v>
      </c>
      <c r="G97" s="95"/>
      <c r="H97" t="s">
        <v>330</v>
      </c>
    </row>
    <row r="98" spans="2:8" ht="15.6" x14ac:dyDescent="0.3">
      <c r="B98" s="384">
        <v>43042</v>
      </c>
      <c r="C98" s="374" t="s">
        <v>67</v>
      </c>
      <c r="D98" s="154"/>
      <c r="E98" s="154"/>
      <c r="F98" s="175">
        <v>-10.9</v>
      </c>
      <c r="G98" s="95"/>
      <c r="H98" t="s">
        <v>330</v>
      </c>
    </row>
    <row r="99" spans="2:8" ht="15.6" x14ac:dyDescent="0.3">
      <c r="B99" s="384">
        <v>43073</v>
      </c>
      <c r="C99" s="374" t="s">
        <v>67</v>
      </c>
      <c r="D99" s="154"/>
      <c r="E99" s="154"/>
      <c r="F99" s="175">
        <v>-10.9</v>
      </c>
      <c r="G99" s="95"/>
      <c r="H99" t="s">
        <v>330</v>
      </c>
    </row>
    <row r="100" spans="2:8" ht="15.6" x14ac:dyDescent="0.3">
      <c r="B100" s="384"/>
      <c r="C100" s="374"/>
      <c r="D100" s="154"/>
      <c r="E100" s="154"/>
      <c r="F100" s="175"/>
    </row>
    <row r="101" spans="2:8" ht="15.6" x14ac:dyDescent="0.3">
      <c r="B101" s="387" t="s">
        <v>139</v>
      </c>
      <c r="C101" s="228"/>
      <c r="D101" s="170"/>
      <c r="E101" s="170"/>
      <c r="F101" s="210">
        <f>SUM(F85:F100)</f>
        <v>-179.83</v>
      </c>
    </row>
    <row r="102" spans="2:8" ht="15.6" x14ac:dyDescent="0.3">
      <c r="B102" s="416"/>
      <c r="C102" s="417"/>
      <c r="D102" s="8"/>
      <c r="E102" s="8"/>
      <c r="F102" s="418"/>
    </row>
    <row r="103" spans="2:8" ht="16.2" thickBot="1" x14ac:dyDescent="0.35">
      <c r="B103" s="98">
        <v>43100</v>
      </c>
      <c r="C103" s="92" t="s">
        <v>2</v>
      </c>
      <c r="D103" s="92"/>
      <c r="E103" s="509"/>
      <c r="F103" s="99">
        <f>F78+F83+F101</f>
        <v>133.32000000000008</v>
      </c>
      <c r="H103" s="501"/>
    </row>
    <row r="104" spans="2:8" ht="15.6" x14ac:dyDescent="0.3">
      <c r="B104" s="377"/>
      <c r="C104" s="415" t="s">
        <v>362</v>
      </c>
      <c r="D104" s="415"/>
      <c r="E104" s="415"/>
      <c r="F104" s="172"/>
      <c r="H104" s="501"/>
    </row>
    <row r="105" spans="2:8" ht="15.6" x14ac:dyDescent="0.3">
      <c r="B105" s="377">
        <v>43104</v>
      </c>
      <c r="C105" s="415" t="s">
        <v>67</v>
      </c>
      <c r="D105" s="415"/>
      <c r="E105" s="415"/>
      <c r="F105" s="172">
        <v>-10.9</v>
      </c>
      <c r="H105" s="502" t="s">
        <v>376</v>
      </c>
    </row>
    <row r="106" spans="2:8" ht="15.6" x14ac:dyDescent="0.3">
      <c r="B106" s="377">
        <v>43135</v>
      </c>
      <c r="C106" s="415" t="s">
        <v>67</v>
      </c>
      <c r="D106" s="415"/>
      <c r="E106" s="415"/>
      <c r="F106" s="172">
        <v>-9.9499999999999993</v>
      </c>
      <c r="H106" s="502" t="s">
        <v>376</v>
      </c>
    </row>
    <row r="107" spans="2:8" ht="15.6" x14ac:dyDescent="0.3">
      <c r="B107" s="377">
        <v>43161</v>
      </c>
      <c r="C107" s="415" t="s">
        <v>67</v>
      </c>
      <c r="D107" s="415"/>
      <c r="E107" s="415"/>
      <c r="F107" s="172">
        <v>-9.9499999999999993</v>
      </c>
      <c r="H107" s="502" t="s">
        <v>376</v>
      </c>
    </row>
    <row r="108" spans="2:8" ht="15.6" x14ac:dyDescent="0.3">
      <c r="B108" s="377">
        <v>43195</v>
      </c>
      <c r="C108" s="415" t="s">
        <v>67</v>
      </c>
      <c r="D108" s="415"/>
      <c r="E108" s="415"/>
      <c r="F108" s="172">
        <v>-9.9499999999999993</v>
      </c>
      <c r="H108" s="501" t="s">
        <v>380</v>
      </c>
    </row>
    <row r="109" spans="2:8" ht="15.6" x14ac:dyDescent="0.3">
      <c r="B109" s="377">
        <v>43224</v>
      </c>
      <c r="C109" s="415" t="s">
        <v>67</v>
      </c>
      <c r="D109" s="415"/>
      <c r="E109" s="415"/>
      <c r="F109" s="172">
        <v>-9.94</v>
      </c>
      <c r="H109" s="501" t="s">
        <v>376</v>
      </c>
    </row>
    <row r="110" spans="2:8" ht="15.6" x14ac:dyDescent="0.3">
      <c r="B110" s="377">
        <v>43256</v>
      </c>
      <c r="C110" s="415" t="s">
        <v>67</v>
      </c>
      <c r="D110" s="415"/>
      <c r="E110" s="415"/>
      <c r="F110" s="172">
        <v>-9.9499999999999993</v>
      </c>
      <c r="H110" s="501"/>
    </row>
    <row r="111" spans="2:8" ht="15.6" x14ac:dyDescent="0.3">
      <c r="B111" s="377">
        <v>43285</v>
      </c>
      <c r="C111" s="415" t="s">
        <v>67</v>
      </c>
      <c r="D111" s="415"/>
      <c r="E111" s="415"/>
      <c r="F111" s="172">
        <v>-9.94</v>
      </c>
      <c r="H111" s="501"/>
    </row>
    <row r="112" spans="2:8" ht="15.6" x14ac:dyDescent="0.3">
      <c r="B112" s="377">
        <v>43316</v>
      </c>
      <c r="C112" s="415" t="s">
        <v>67</v>
      </c>
      <c r="D112" s="415"/>
      <c r="E112" s="415"/>
      <c r="F112" s="172">
        <v>-9.9499999999999993</v>
      </c>
      <c r="H112" s="501"/>
    </row>
    <row r="113" spans="1:13" ht="15.6" x14ac:dyDescent="0.3">
      <c r="B113" s="377">
        <v>43347</v>
      </c>
      <c r="C113" s="415" t="s">
        <v>67</v>
      </c>
      <c r="D113" s="415"/>
      <c r="E113" s="415"/>
      <c r="F113" s="172">
        <v>-9.9499999999999993</v>
      </c>
      <c r="H113" s="501"/>
    </row>
    <row r="114" spans="1:13" ht="15.6" x14ac:dyDescent="0.3">
      <c r="B114" s="377">
        <v>43375</v>
      </c>
      <c r="C114" s="415" t="s">
        <v>67</v>
      </c>
      <c r="D114" s="415"/>
      <c r="E114" s="415"/>
      <c r="F114" s="172">
        <v>-9.9499999999999993</v>
      </c>
      <c r="H114" s="501"/>
    </row>
    <row r="115" spans="1:13" ht="15.6" x14ac:dyDescent="0.3">
      <c r="B115" s="377">
        <v>43407</v>
      </c>
      <c r="C115" s="415" t="s">
        <v>67</v>
      </c>
      <c r="D115" s="415"/>
      <c r="E115" s="415"/>
      <c r="F115" s="172">
        <v>-9.9499999999999993</v>
      </c>
      <c r="H115" s="501"/>
    </row>
    <row r="116" spans="1:13" ht="15.6" x14ac:dyDescent="0.3">
      <c r="B116" s="377">
        <v>43438</v>
      </c>
      <c r="C116" s="415" t="s">
        <v>67</v>
      </c>
      <c r="D116" s="415"/>
      <c r="E116" s="415"/>
      <c r="F116" s="172">
        <v>-9.94</v>
      </c>
      <c r="H116" s="501"/>
    </row>
    <row r="117" spans="1:13" ht="15.6" x14ac:dyDescent="0.3">
      <c r="B117" s="377"/>
      <c r="C117" s="415"/>
      <c r="D117" s="415"/>
      <c r="E117" s="415"/>
      <c r="F117" s="172"/>
      <c r="H117" s="501"/>
    </row>
    <row r="118" spans="1:13" ht="15.6" x14ac:dyDescent="0.3">
      <c r="B118" s="377"/>
      <c r="C118" s="415" t="s">
        <v>364</v>
      </c>
      <c r="D118" s="415"/>
      <c r="E118" s="415"/>
      <c r="F118" s="172">
        <f>SUM(F104:F116)</f>
        <v>-120.32000000000001</v>
      </c>
      <c r="H118" s="501"/>
    </row>
    <row r="119" spans="1:13" ht="15.6" x14ac:dyDescent="0.3">
      <c r="B119" s="377"/>
      <c r="C119" s="415" t="s">
        <v>363</v>
      </c>
      <c r="D119" s="415"/>
      <c r="E119" s="415"/>
      <c r="F119" s="172"/>
      <c r="H119" s="501"/>
    </row>
    <row r="120" spans="1:13" ht="15.6" x14ac:dyDescent="0.3">
      <c r="B120" s="377">
        <v>43364</v>
      </c>
      <c r="C120" s="415" t="s">
        <v>396</v>
      </c>
      <c r="D120" s="415"/>
      <c r="E120" s="415"/>
      <c r="F120" s="172">
        <v>0.97</v>
      </c>
      <c r="H120" s="501"/>
    </row>
    <row r="121" spans="1:13" ht="15.6" x14ac:dyDescent="0.3">
      <c r="B121" s="377">
        <v>43367</v>
      </c>
      <c r="C121" s="415" t="s">
        <v>396</v>
      </c>
      <c r="D121" s="415"/>
      <c r="E121" s="415"/>
      <c r="F121" s="172">
        <v>0.97</v>
      </c>
      <c r="H121" s="501"/>
    </row>
    <row r="122" spans="1:13" ht="15.6" x14ac:dyDescent="0.3">
      <c r="B122" s="377"/>
      <c r="C122" s="415" t="s">
        <v>365</v>
      </c>
      <c r="D122" s="415"/>
      <c r="E122" s="415"/>
      <c r="F122" s="172">
        <f>SUM(F119:F121)</f>
        <v>1.94</v>
      </c>
      <c r="H122" s="501"/>
    </row>
    <row r="123" spans="1:13" ht="15.6" x14ac:dyDescent="0.3">
      <c r="B123" s="507">
        <f>B2</f>
        <v>43830</v>
      </c>
      <c r="C123" s="508" t="s">
        <v>2</v>
      </c>
      <c r="D123" s="508"/>
      <c r="E123" s="508"/>
      <c r="F123" s="104">
        <f>F103+F118+F122</f>
        <v>14.940000000000071</v>
      </c>
      <c r="H123" s="501"/>
    </row>
    <row r="124" spans="1:13" ht="15.6" x14ac:dyDescent="0.3">
      <c r="B124" s="114"/>
      <c r="C124" s="96"/>
      <c r="D124" s="96"/>
      <c r="E124" s="510"/>
      <c r="F124" s="115"/>
      <c r="H124" s="501"/>
    </row>
    <row r="125" spans="1:13" ht="15.6" thickBot="1" x14ac:dyDescent="0.3">
      <c r="B125" s="12"/>
      <c r="C125" s="12"/>
      <c r="D125" s="12"/>
      <c r="E125" s="12"/>
      <c r="F125" s="12"/>
    </row>
    <row r="126" spans="1:13" ht="15.6" x14ac:dyDescent="0.3">
      <c r="A126" s="95"/>
      <c r="B126" s="382" t="s">
        <v>45</v>
      </c>
      <c r="C126" s="156"/>
      <c r="D126" s="156"/>
      <c r="E126" s="199" t="s">
        <v>113</v>
      </c>
      <c r="F126" s="158"/>
    </row>
    <row r="127" spans="1:13" ht="15.6" x14ac:dyDescent="0.3">
      <c r="B127" s="113"/>
      <c r="C127" s="96" t="s">
        <v>61</v>
      </c>
      <c r="D127" s="96"/>
      <c r="E127" s="96"/>
      <c r="F127" s="152">
        <f>'project 2016'!F75</f>
        <v>2084</v>
      </c>
      <c r="H127" s="348"/>
      <c r="I127" s="116"/>
      <c r="J127" s="116"/>
      <c r="K127" s="116"/>
      <c r="L127" s="116"/>
      <c r="M127" s="116"/>
    </row>
    <row r="128" spans="1:13" ht="15.6" x14ac:dyDescent="0.3">
      <c r="B128" s="384" t="s">
        <v>81</v>
      </c>
      <c r="C128" s="173"/>
      <c r="D128" s="155"/>
      <c r="E128" s="155"/>
      <c r="F128" s="386"/>
      <c r="H128" s="348"/>
      <c r="I128" s="116"/>
      <c r="J128" s="116"/>
      <c r="K128" s="116"/>
      <c r="L128" s="116"/>
      <c r="M128" s="116"/>
    </row>
    <row r="129" spans="1:13" ht="15.6" x14ac:dyDescent="0.3">
      <c r="B129" s="174"/>
      <c r="C129" s="173"/>
      <c r="D129" s="155"/>
      <c r="E129" s="155"/>
      <c r="F129" s="175">
        <v>0</v>
      </c>
      <c r="H129" s="348"/>
      <c r="I129" s="116"/>
      <c r="J129" s="116"/>
      <c r="K129" s="116"/>
      <c r="L129" s="116"/>
      <c r="M129" s="116"/>
    </row>
    <row r="130" spans="1:13" ht="15.6" x14ac:dyDescent="0.3">
      <c r="B130" s="387">
        <f>B78</f>
        <v>42735</v>
      </c>
      <c r="C130" s="228" t="str">
        <f>C78</f>
        <v>Saldo</v>
      </c>
      <c r="D130" s="168"/>
      <c r="E130" s="168"/>
      <c r="F130" s="210">
        <f>'project 2016'!F78</f>
        <v>2084</v>
      </c>
      <c r="G130" s="7"/>
      <c r="H130" s="348"/>
      <c r="I130" s="116"/>
      <c r="J130" s="116"/>
      <c r="K130" s="193"/>
      <c r="L130" s="116"/>
      <c r="M130" s="116"/>
    </row>
    <row r="131" spans="1:13" x14ac:dyDescent="0.25">
      <c r="B131" s="174"/>
      <c r="C131" s="155"/>
      <c r="D131" s="155"/>
      <c r="E131" s="155"/>
      <c r="F131" s="177"/>
      <c r="G131" s="7"/>
      <c r="H131" s="348"/>
      <c r="I131" s="116"/>
      <c r="J131" s="116"/>
      <c r="K131" s="116"/>
      <c r="L131" s="116"/>
      <c r="M131" s="116"/>
    </row>
    <row r="132" spans="1:13" x14ac:dyDescent="0.25">
      <c r="B132" s="410">
        <v>42787</v>
      </c>
      <c r="C132" s="328" t="s">
        <v>230</v>
      </c>
      <c r="D132" s="328"/>
      <c r="E132" s="328"/>
      <c r="F132" s="328">
        <f>-200</f>
        <v>-200</v>
      </c>
      <c r="G132" s="107"/>
      <c r="H132" t="s">
        <v>335</v>
      </c>
    </row>
    <row r="133" spans="1:13" x14ac:dyDescent="0.25">
      <c r="B133" s="411">
        <v>42787</v>
      </c>
      <c r="C133" s="399" t="s">
        <v>231</v>
      </c>
      <c r="D133" s="399"/>
      <c r="E133" s="399"/>
      <c r="F133" s="412">
        <f>-1884</f>
        <v>-1884</v>
      </c>
      <c r="G133" s="107"/>
      <c r="H133" t="s">
        <v>336</v>
      </c>
    </row>
    <row r="134" spans="1:13" x14ac:dyDescent="0.25">
      <c r="B134" s="451" t="s">
        <v>306</v>
      </c>
      <c r="C134" s="171"/>
      <c r="D134" s="171"/>
      <c r="E134" s="171"/>
      <c r="F134" s="414">
        <f>SUM(F132:F133)</f>
        <v>-2084</v>
      </c>
      <c r="G134" s="7"/>
    </row>
    <row r="135" spans="1:13" ht="16.2" thickBot="1" x14ac:dyDescent="0.35">
      <c r="B135" s="385">
        <v>43100</v>
      </c>
      <c r="C135" s="82" t="s">
        <v>2</v>
      </c>
      <c r="D135" s="82"/>
      <c r="E135" s="419"/>
      <c r="F135" s="209">
        <f>F130+F134</f>
        <v>0</v>
      </c>
      <c r="G135" s="7"/>
    </row>
    <row r="136" spans="1:13" ht="13.8" thickBot="1" x14ac:dyDescent="0.3"/>
    <row r="137" spans="1:13" ht="15.6" x14ac:dyDescent="0.3">
      <c r="A137" s="95"/>
      <c r="B137" s="223" t="s">
        <v>95</v>
      </c>
      <c r="C137" s="182"/>
      <c r="D137" s="157"/>
      <c r="E137" s="199" t="s">
        <v>114</v>
      </c>
      <c r="F137" s="176"/>
    </row>
    <row r="138" spans="1:13" ht="15.6" x14ac:dyDescent="0.3">
      <c r="B138" s="388"/>
      <c r="C138" s="115" t="s">
        <v>96</v>
      </c>
      <c r="D138" s="115"/>
      <c r="E138" s="115"/>
      <c r="F138" s="152"/>
    </row>
    <row r="139" spans="1:13" ht="15.6" x14ac:dyDescent="0.3">
      <c r="B139" s="388"/>
      <c r="C139" s="115" t="s">
        <v>60</v>
      </c>
      <c r="D139" s="115"/>
      <c r="E139" s="115"/>
      <c r="F139" s="152">
        <f>'project 2016'!F83</f>
        <v>-933.27</v>
      </c>
    </row>
    <row r="140" spans="1:13" ht="15.6" x14ac:dyDescent="0.3">
      <c r="B140" s="384" t="s">
        <v>81</v>
      </c>
      <c r="C140" s="155"/>
      <c r="D140" s="155"/>
      <c r="E140" s="155"/>
      <c r="F140" s="177"/>
      <c r="H140" s="7"/>
    </row>
    <row r="141" spans="1:13" ht="15.6" x14ac:dyDescent="0.3">
      <c r="B141" s="135">
        <v>42382</v>
      </c>
      <c r="C141" s="181" t="s">
        <v>97</v>
      </c>
      <c r="D141" s="181"/>
      <c r="E141" s="181"/>
      <c r="F141" s="175">
        <v>1250</v>
      </c>
    </row>
    <row r="142" spans="1:13" x14ac:dyDescent="0.25">
      <c r="B142" s="174"/>
      <c r="C142" s="155"/>
      <c r="D142" s="155"/>
      <c r="E142" s="155"/>
      <c r="F142" s="177"/>
    </row>
    <row r="143" spans="1:13" ht="15.6" x14ac:dyDescent="0.3">
      <c r="B143" s="174"/>
      <c r="C143" s="180" t="s">
        <v>68</v>
      </c>
      <c r="D143" s="180"/>
      <c r="E143" s="180"/>
      <c r="F143" s="175">
        <f>F139+F141</f>
        <v>316.73</v>
      </c>
    </row>
    <row r="144" spans="1:13" x14ac:dyDescent="0.25">
      <c r="B144" s="174"/>
      <c r="C144" s="155"/>
      <c r="D144" s="155"/>
      <c r="E144" s="155"/>
      <c r="F144" s="177"/>
    </row>
    <row r="145" spans="2:9" ht="15" x14ac:dyDescent="0.25">
      <c r="B145" s="206">
        <v>42522</v>
      </c>
      <c r="C145" s="181" t="s">
        <v>124</v>
      </c>
      <c r="D145" s="155"/>
      <c r="E145" s="155"/>
      <c r="F145" s="398">
        <v>-216.59</v>
      </c>
    </row>
    <row r="146" spans="2:9" x14ac:dyDescent="0.25">
      <c r="B146" s="174"/>
      <c r="C146" s="155"/>
      <c r="D146" s="155"/>
      <c r="E146" s="155"/>
      <c r="F146" s="177"/>
    </row>
    <row r="147" spans="2:9" ht="15.6" x14ac:dyDescent="0.3">
      <c r="B147" s="105">
        <f>B130</f>
        <v>42735</v>
      </c>
      <c r="C147" s="227" t="s">
        <v>2</v>
      </c>
      <c r="D147" s="227"/>
      <c r="E147" s="227"/>
      <c r="F147" s="152">
        <f>'project 2016'!F91</f>
        <v>100.14000000000001</v>
      </c>
    </row>
    <row r="148" spans="2:9" ht="15.6" x14ac:dyDescent="0.3">
      <c r="B148" s="359" t="s">
        <v>101</v>
      </c>
      <c r="C148" s="211"/>
      <c r="D148" s="211"/>
      <c r="E148" s="211"/>
      <c r="F148" s="210"/>
    </row>
    <row r="149" spans="2:9" ht="15.6" x14ac:dyDescent="0.3">
      <c r="B149" s="400">
        <v>42795</v>
      </c>
      <c r="C149" s="180" t="s">
        <v>244</v>
      </c>
      <c r="D149" s="180"/>
      <c r="E149" s="180"/>
      <c r="F149" s="175">
        <f>-68.7</f>
        <v>-68.7</v>
      </c>
      <c r="G149" s="95"/>
      <c r="H149" t="s">
        <v>351</v>
      </c>
      <c r="I149" s="107" t="s">
        <v>354</v>
      </c>
    </row>
    <row r="150" spans="2:9" ht="15.6" x14ac:dyDescent="0.3">
      <c r="B150" s="359" t="s">
        <v>263</v>
      </c>
      <c r="C150" s="211"/>
      <c r="D150" s="211"/>
      <c r="E150" s="211"/>
      <c r="F150" s="210">
        <f>F149</f>
        <v>-68.7</v>
      </c>
    </row>
    <row r="151" spans="2:9" ht="15.6" x14ac:dyDescent="0.3">
      <c r="B151" s="105">
        <v>43100</v>
      </c>
      <c r="C151" s="227" t="s">
        <v>2</v>
      </c>
      <c r="D151" s="227"/>
      <c r="E151" s="227"/>
      <c r="F151" s="152">
        <f>F149+F147</f>
        <v>31.440000000000012</v>
      </c>
    </row>
    <row r="152" spans="2:9" ht="15.6" x14ac:dyDescent="0.3">
      <c r="B152" s="377"/>
      <c r="C152" s="415" t="s">
        <v>362</v>
      </c>
      <c r="D152" s="415"/>
      <c r="E152" s="415"/>
      <c r="F152" s="172"/>
    </row>
    <row r="153" spans="2:9" ht="15.6" x14ac:dyDescent="0.3">
      <c r="B153" s="377"/>
      <c r="C153" s="415"/>
      <c r="D153" s="415"/>
      <c r="E153" s="415"/>
      <c r="F153" s="172"/>
    </row>
    <row r="154" spans="2:9" ht="15.6" x14ac:dyDescent="0.3">
      <c r="B154" s="377"/>
      <c r="C154" s="415"/>
      <c r="D154" s="415"/>
      <c r="E154" s="415"/>
      <c r="F154" s="172"/>
    </row>
    <row r="155" spans="2:9" ht="15.6" x14ac:dyDescent="0.3">
      <c r="B155" s="377"/>
      <c r="C155" s="415" t="s">
        <v>364</v>
      </c>
      <c r="D155" s="415"/>
      <c r="E155" s="415"/>
      <c r="F155" s="172">
        <f>SUM(F152:F154)</f>
        <v>0</v>
      </c>
    </row>
    <row r="156" spans="2:9" ht="15.6" x14ac:dyDescent="0.3">
      <c r="B156" s="377"/>
      <c r="C156" s="415" t="s">
        <v>363</v>
      </c>
      <c r="D156" s="415"/>
      <c r="E156" s="415"/>
      <c r="F156" s="172"/>
    </row>
    <row r="157" spans="2:9" ht="15.6" x14ac:dyDescent="0.3">
      <c r="B157" s="377"/>
      <c r="C157" s="415"/>
      <c r="D157" s="415"/>
      <c r="E157" s="415"/>
      <c r="F157" s="172"/>
    </row>
    <row r="158" spans="2:9" ht="15.6" x14ac:dyDescent="0.3">
      <c r="B158" s="377"/>
      <c r="C158" s="415"/>
      <c r="D158" s="415"/>
      <c r="E158" s="415"/>
      <c r="F158" s="172"/>
    </row>
    <row r="159" spans="2:9" ht="15.6" x14ac:dyDescent="0.3">
      <c r="B159" s="377"/>
      <c r="C159" s="415" t="s">
        <v>365</v>
      </c>
      <c r="D159" s="415"/>
      <c r="E159" s="415"/>
      <c r="F159" s="172">
        <f>SUM(F156:F158)</f>
        <v>0</v>
      </c>
    </row>
    <row r="160" spans="2:9" ht="15.6" x14ac:dyDescent="0.3">
      <c r="B160" s="507">
        <f>B2</f>
        <v>43830</v>
      </c>
      <c r="C160" s="508" t="s">
        <v>2</v>
      </c>
      <c r="D160" s="508"/>
      <c r="E160" s="508"/>
      <c r="F160" s="104">
        <f>F151+F155+F159</f>
        <v>31.440000000000012</v>
      </c>
    </row>
    <row r="161" spans="2:10" ht="16.2" thickBot="1" x14ac:dyDescent="0.35">
      <c r="B161" s="161"/>
      <c r="C161" s="143"/>
      <c r="D161" s="162"/>
      <c r="E161" s="162"/>
      <c r="F161" s="163"/>
    </row>
    <row r="162" spans="2:10" ht="13.8" thickBot="1" x14ac:dyDescent="0.3"/>
    <row r="163" spans="2:10" x14ac:dyDescent="0.25">
      <c r="B163" s="368" t="s">
        <v>131</v>
      </c>
      <c r="C163" s="369"/>
      <c r="D163" s="369"/>
      <c r="E163" s="369"/>
      <c r="F163" s="370"/>
    </row>
    <row r="164" spans="2:10" ht="15.6" x14ac:dyDescent="0.3">
      <c r="B164" s="389" t="s">
        <v>83</v>
      </c>
      <c r="C164" s="371"/>
      <c r="D164" s="155"/>
      <c r="E164" s="372" t="s">
        <v>115</v>
      </c>
      <c r="F164" s="177"/>
    </row>
    <row r="165" spans="2:10" ht="15.6" x14ac:dyDescent="0.3">
      <c r="B165" s="359">
        <v>42004</v>
      </c>
      <c r="C165" s="373" t="s">
        <v>84</v>
      </c>
      <c r="D165" s="373"/>
      <c r="E165" s="373"/>
      <c r="F165" s="172">
        <v>0</v>
      </c>
    </row>
    <row r="166" spans="2:10" ht="15.6" x14ac:dyDescent="0.3">
      <c r="B166" s="390">
        <v>42343</v>
      </c>
      <c r="C166" s="115" t="s">
        <v>85</v>
      </c>
      <c r="D166" s="115" t="s">
        <v>86</v>
      </c>
      <c r="E166" s="115"/>
      <c r="F166" s="152">
        <v>5000</v>
      </c>
      <c r="J166">
        <v>0</v>
      </c>
    </row>
    <row r="167" spans="2:10" ht="15.6" x14ac:dyDescent="0.3">
      <c r="B167" s="388"/>
      <c r="C167" s="115" t="s">
        <v>61</v>
      </c>
      <c r="D167" s="115"/>
      <c r="E167" s="115"/>
      <c r="F167" s="152">
        <f>F166</f>
        <v>5000</v>
      </c>
    </row>
    <row r="168" spans="2:10" ht="15.6" x14ac:dyDescent="0.3">
      <c r="B168" s="384" t="s">
        <v>81</v>
      </c>
      <c r="C168" s="155"/>
      <c r="D168" s="155"/>
      <c r="E168" s="155"/>
      <c r="F168" s="177"/>
      <c r="J168">
        <v>7537.8399999999983</v>
      </c>
    </row>
    <row r="169" spans="2:10" ht="15.6" x14ac:dyDescent="0.3">
      <c r="B169" s="135">
        <v>42424</v>
      </c>
      <c r="C169" s="181" t="s">
        <v>90</v>
      </c>
      <c r="D169" s="179"/>
      <c r="E169" s="179"/>
      <c r="F169" s="175">
        <v>10000</v>
      </c>
      <c r="J169">
        <v>0</v>
      </c>
    </row>
    <row r="170" spans="2:10" ht="15.6" x14ac:dyDescent="0.3">
      <c r="B170" s="135">
        <v>42424</v>
      </c>
      <c r="C170" s="179" t="s">
        <v>87</v>
      </c>
      <c r="D170" s="179"/>
      <c r="E170" s="180"/>
      <c r="F170" s="175">
        <v>5000</v>
      </c>
      <c r="J170">
        <v>48.66</v>
      </c>
    </row>
    <row r="171" spans="2:10" ht="15.6" x14ac:dyDescent="0.3">
      <c r="B171" s="135">
        <v>42523</v>
      </c>
      <c r="C171" s="181" t="s">
        <v>120</v>
      </c>
      <c r="D171" s="181"/>
      <c r="E171" s="180"/>
      <c r="F171" s="205">
        <v>2500</v>
      </c>
      <c r="J171">
        <v>0</v>
      </c>
    </row>
    <row r="172" spans="2:10" ht="15.6" x14ac:dyDescent="0.3">
      <c r="B172" s="135">
        <v>42536</v>
      </c>
      <c r="C172" s="181" t="s">
        <v>123</v>
      </c>
      <c r="D172" s="181"/>
      <c r="E172" s="180"/>
      <c r="F172" s="205">
        <v>1500</v>
      </c>
    </row>
    <row r="173" spans="2:10" ht="15" x14ac:dyDescent="0.25">
      <c r="B173" s="207" t="s">
        <v>147</v>
      </c>
      <c r="C173" s="181" t="s">
        <v>146</v>
      </c>
      <c r="D173" s="181"/>
      <c r="E173" s="181"/>
      <c r="F173" s="205">
        <v>950</v>
      </c>
      <c r="J173">
        <v>926</v>
      </c>
    </row>
    <row r="174" spans="2:10" ht="15.6" x14ac:dyDescent="0.3">
      <c r="B174" s="135"/>
      <c r="C174" s="227" t="s">
        <v>151</v>
      </c>
      <c r="D174" s="227"/>
      <c r="E174" s="227"/>
      <c r="F174" s="152">
        <f>SUM(F169:F173)</f>
        <v>19950</v>
      </c>
    </row>
    <row r="175" spans="2:10" ht="15.6" x14ac:dyDescent="0.3">
      <c r="B175" s="135"/>
      <c r="C175" s="180"/>
      <c r="D175" s="180"/>
      <c r="E175" s="180"/>
      <c r="F175" s="175"/>
    </row>
    <row r="176" spans="2:10" ht="15.6" x14ac:dyDescent="0.3">
      <c r="B176" s="135">
        <v>42515</v>
      </c>
      <c r="C176" s="180" t="s">
        <v>128</v>
      </c>
      <c r="D176" s="180"/>
      <c r="E176" s="180"/>
      <c r="F176" s="175">
        <f>-907.5</f>
        <v>-907.5</v>
      </c>
    </row>
    <row r="177" spans="2:10" ht="15.6" x14ac:dyDescent="0.3">
      <c r="B177" s="135">
        <v>42612</v>
      </c>
      <c r="C177" s="180" t="s">
        <v>127</v>
      </c>
      <c r="D177" s="180"/>
      <c r="E177" s="180"/>
      <c r="F177" s="175">
        <f>-5248.38</f>
        <v>-5248.38</v>
      </c>
    </row>
    <row r="178" spans="2:10" ht="15.6" x14ac:dyDescent="0.3">
      <c r="B178" s="135"/>
      <c r="C178" s="180"/>
      <c r="D178" s="180"/>
      <c r="E178" s="180"/>
      <c r="F178" s="175"/>
    </row>
    <row r="179" spans="2:10" ht="15.6" x14ac:dyDescent="0.3">
      <c r="B179" s="135">
        <v>42612</v>
      </c>
      <c r="C179" s="180" t="s">
        <v>135</v>
      </c>
      <c r="D179" s="180"/>
      <c r="E179" s="180"/>
      <c r="F179" s="175">
        <f>-201.95</f>
        <v>-201.95</v>
      </c>
    </row>
    <row r="180" spans="2:10" ht="15.6" x14ac:dyDescent="0.3">
      <c r="B180" s="135">
        <v>42615</v>
      </c>
      <c r="C180" s="180" t="s">
        <v>136</v>
      </c>
      <c r="D180" s="180"/>
      <c r="E180" s="180"/>
      <c r="F180" s="175">
        <f>-9709.6</f>
        <v>-9709.6</v>
      </c>
    </row>
    <row r="181" spans="2:10" ht="15.6" x14ac:dyDescent="0.3">
      <c r="B181" s="135">
        <v>42621</v>
      </c>
      <c r="C181" s="180" t="s">
        <v>138</v>
      </c>
      <c r="D181" s="180"/>
      <c r="E181" s="180"/>
      <c r="F181" s="175">
        <v>-96.61</v>
      </c>
    </row>
    <row r="182" spans="2:10" ht="15.6" x14ac:dyDescent="0.3">
      <c r="B182" s="207">
        <v>42648</v>
      </c>
      <c r="C182" s="180" t="s">
        <v>137</v>
      </c>
      <c r="D182" s="180"/>
      <c r="E182" s="180"/>
      <c r="F182" s="175">
        <v>-393.45</v>
      </c>
      <c r="H182" s="116"/>
    </row>
    <row r="183" spans="2:10" ht="15.6" x14ac:dyDescent="0.3">
      <c r="B183" s="207">
        <v>42697</v>
      </c>
      <c r="C183" s="180" t="s">
        <v>136</v>
      </c>
      <c r="D183" s="180"/>
      <c r="E183" s="180"/>
      <c r="F183" s="175">
        <v>-54.45</v>
      </c>
      <c r="H183" s="116"/>
    </row>
    <row r="184" spans="2:10" ht="15.6" x14ac:dyDescent="0.3">
      <c r="B184" s="207">
        <v>42704</v>
      </c>
      <c r="C184" s="180" t="s">
        <v>143</v>
      </c>
      <c r="D184" s="180"/>
      <c r="E184" s="180"/>
      <c r="F184" s="175">
        <v>-299.48</v>
      </c>
      <c r="H184" s="116"/>
    </row>
    <row r="185" spans="2:10" ht="15.6" x14ac:dyDescent="0.3">
      <c r="B185" s="207">
        <v>42716</v>
      </c>
      <c r="C185" s="180" t="s">
        <v>155</v>
      </c>
      <c r="D185" s="180"/>
      <c r="E185" s="180"/>
      <c r="F185" s="175">
        <f>-225</f>
        <v>-225</v>
      </c>
      <c r="H185" s="116"/>
    </row>
    <row r="186" spans="2:10" ht="15.6" x14ac:dyDescent="0.3">
      <c r="B186" s="207">
        <v>42724</v>
      </c>
      <c r="C186" s="181" t="s">
        <v>156</v>
      </c>
      <c r="D186" s="181"/>
      <c r="E186" s="181"/>
      <c r="F186" s="175">
        <v>-105.27</v>
      </c>
      <c r="H186" s="116"/>
    </row>
    <row r="187" spans="2:10" ht="15.6" x14ac:dyDescent="0.3">
      <c r="B187" s="207"/>
      <c r="C187" s="227"/>
      <c r="D187" s="227"/>
      <c r="E187" s="227"/>
      <c r="F187" s="152"/>
      <c r="H187" s="116"/>
    </row>
    <row r="188" spans="2:10" ht="15.6" x14ac:dyDescent="0.3">
      <c r="B188" s="207"/>
      <c r="C188" s="227" t="s">
        <v>157</v>
      </c>
      <c r="D188" s="227"/>
      <c r="E188" s="227"/>
      <c r="F188" s="152">
        <f>SUM(F176:F186)</f>
        <v>-17241.690000000002</v>
      </c>
      <c r="H188" s="116"/>
    </row>
    <row r="189" spans="2:10" ht="15.6" x14ac:dyDescent="0.3">
      <c r="B189" s="207">
        <v>42731</v>
      </c>
      <c r="C189" s="227" t="s">
        <v>164</v>
      </c>
      <c r="D189" s="227"/>
      <c r="E189" s="227"/>
      <c r="F189" s="152">
        <v>40</v>
      </c>
      <c r="G189" s="95"/>
      <c r="H189" s="116" t="s">
        <v>326</v>
      </c>
      <c r="I189" s="500">
        <v>43125</v>
      </c>
      <c r="J189" t="s">
        <v>328</v>
      </c>
    </row>
    <row r="190" spans="2:10" ht="15.6" x14ac:dyDescent="0.3">
      <c r="B190" s="207">
        <v>42731</v>
      </c>
      <c r="C190" s="227" t="s">
        <v>164</v>
      </c>
      <c r="D190" s="227"/>
      <c r="E190" s="227"/>
      <c r="F190" s="152">
        <v>405</v>
      </c>
      <c r="G190" s="95"/>
      <c r="H190" s="116" t="s">
        <v>327</v>
      </c>
      <c r="I190" s="500">
        <v>43125</v>
      </c>
      <c r="J190" t="s">
        <v>328</v>
      </c>
    </row>
    <row r="191" spans="2:10" ht="15.6" x14ac:dyDescent="0.3">
      <c r="B191" s="359">
        <f>B147</f>
        <v>42735</v>
      </c>
      <c r="C191" s="211" t="str">
        <f>C147</f>
        <v>Saldo</v>
      </c>
      <c r="D191" s="211"/>
      <c r="E191" s="211"/>
      <c r="F191" s="210">
        <f>'project 2016'!F122</f>
        <v>8153.3099999999977</v>
      </c>
      <c r="H191" s="116"/>
    </row>
    <row r="192" spans="2:10" ht="15.6" x14ac:dyDescent="0.3">
      <c r="B192" s="400" t="s">
        <v>100</v>
      </c>
      <c r="C192" s="180"/>
      <c r="D192" s="180"/>
      <c r="E192" s="180"/>
      <c r="F192" s="175"/>
      <c r="H192" s="116"/>
    </row>
    <row r="193" spans="2:10" ht="15.6" x14ac:dyDescent="0.3">
      <c r="B193" s="400">
        <v>42736</v>
      </c>
      <c r="C193" s="180" t="s">
        <v>59</v>
      </c>
      <c r="D193" s="180"/>
      <c r="E193" s="180"/>
      <c r="F193" s="175">
        <v>13.29</v>
      </c>
      <c r="G193" s="95"/>
      <c r="H193" s="116" t="s">
        <v>330</v>
      </c>
    </row>
    <row r="194" spans="2:10" ht="15.6" x14ac:dyDescent="0.3">
      <c r="B194" s="400">
        <v>42926</v>
      </c>
      <c r="C194" s="180" t="s">
        <v>164</v>
      </c>
      <c r="D194" s="180"/>
      <c r="E194" s="180"/>
      <c r="F194" s="175">
        <v>60</v>
      </c>
      <c r="G194" s="95"/>
      <c r="H194" s="116" t="s">
        <v>330</v>
      </c>
    </row>
    <row r="195" spans="2:10" ht="15.6" x14ac:dyDescent="0.3">
      <c r="B195" s="400">
        <v>43056</v>
      </c>
      <c r="C195" s="180" t="s">
        <v>282</v>
      </c>
      <c r="D195" s="180"/>
      <c r="E195" s="180"/>
      <c r="F195" s="175">
        <v>30</v>
      </c>
      <c r="G195" s="95"/>
      <c r="H195" s="116" t="s">
        <v>330</v>
      </c>
    </row>
    <row r="196" spans="2:10" ht="15.6" x14ac:dyDescent="0.3">
      <c r="B196" s="105" t="s">
        <v>303</v>
      </c>
      <c r="C196" s="227"/>
      <c r="D196" s="227"/>
      <c r="E196" s="227"/>
      <c r="F196" s="152">
        <f>SUM(F193:F195)</f>
        <v>103.28999999999999</v>
      </c>
      <c r="H196" s="116"/>
    </row>
    <row r="197" spans="2:10" ht="15.6" x14ac:dyDescent="0.3">
      <c r="B197" s="400" t="s">
        <v>101</v>
      </c>
      <c r="C197" s="180"/>
      <c r="D197" s="180"/>
      <c r="E197" s="180"/>
      <c r="F197" s="175"/>
      <c r="H197" s="116"/>
    </row>
    <row r="198" spans="2:10" ht="15.6" x14ac:dyDescent="0.3">
      <c r="B198" s="400">
        <v>42787</v>
      </c>
      <c r="C198" s="180" t="s">
        <v>238</v>
      </c>
      <c r="D198" s="180"/>
      <c r="E198" s="180"/>
      <c r="F198" s="175">
        <f>-F193</f>
        <v>-13.29</v>
      </c>
      <c r="G198" s="95"/>
      <c r="H198" s="116" t="s">
        <v>335</v>
      </c>
    </row>
    <row r="199" spans="2:10" ht="15.6" x14ac:dyDescent="0.3">
      <c r="B199" s="400">
        <v>42885</v>
      </c>
      <c r="C199" s="180" t="s">
        <v>253</v>
      </c>
      <c r="D199" s="180" t="s">
        <v>254</v>
      </c>
      <c r="E199" s="180"/>
      <c r="F199" s="175">
        <v>-326.7</v>
      </c>
      <c r="G199" s="95"/>
      <c r="H199" s="193" t="s">
        <v>342</v>
      </c>
      <c r="I199" s="7" t="s">
        <v>339</v>
      </c>
      <c r="J199" s="116"/>
    </row>
    <row r="200" spans="2:10" ht="15.6" x14ac:dyDescent="0.3">
      <c r="B200" s="400">
        <v>42926</v>
      </c>
      <c r="C200" s="180" t="s">
        <v>253</v>
      </c>
      <c r="D200" s="180"/>
      <c r="E200" s="180"/>
      <c r="F200" s="175">
        <v>-159.72</v>
      </c>
      <c r="G200" s="95"/>
      <c r="H200" s="193" t="s">
        <v>342</v>
      </c>
      <c r="I200" s="168" t="s">
        <v>353</v>
      </c>
      <c r="J200" s="420" t="s">
        <v>83</v>
      </c>
    </row>
    <row r="201" spans="2:10" ht="15.6" x14ac:dyDescent="0.3">
      <c r="B201" s="400">
        <v>43025</v>
      </c>
      <c r="C201" s="180" t="s">
        <v>253</v>
      </c>
      <c r="D201" s="180"/>
      <c r="E201" s="180"/>
      <c r="F201" s="175">
        <v>-127.05</v>
      </c>
      <c r="G201" s="95"/>
      <c r="H201" s="193" t="s">
        <v>342</v>
      </c>
      <c r="I201" s="168" t="s">
        <v>353</v>
      </c>
      <c r="J201" s="420" t="s">
        <v>83</v>
      </c>
    </row>
    <row r="202" spans="2:10" ht="15.6" x14ac:dyDescent="0.3">
      <c r="B202" s="400">
        <v>43025</v>
      </c>
      <c r="C202" s="180" t="s">
        <v>274</v>
      </c>
      <c r="D202" s="180"/>
      <c r="E202" s="180"/>
      <c r="F202" s="175">
        <v>-92</v>
      </c>
      <c r="G202" s="95"/>
      <c r="H202" s="116" t="s">
        <v>331</v>
      </c>
      <c r="I202" s="116"/>
    </row>
    <row r="203" spans="2:10" ht="15.6" x14ac:dyDescent="0.3">
      <c r="B203" s="105" t="s">
        <v>304</v>
      </c>
      <c r="C203" s="227"/>
      <c r="D203" s="227"/>
      <c r="E203" s="227"/>
      <c r="F203" s="152">
        <f>SUM(F198:F202)</f>
        <v>-718.76</v>
      </c>
      <c r="H203" s="116"/>
    </row>
    <row r="204" spans="2:10" ht="15.6" x14ac:dyDescent="0.3">
      <c r="B204" s="169">
        <v>43100</v>
      </c>
      <c r="C204" s="211" t="s">
        <v>2</v>
      </c>
      <c r="D204" s="211"/>
      <c r="E204" s="211"/>
      <c r="F204" s="210">
        <f>F191+F196+F203</f>
        <v>7537.8399999999983</v>
      </c>
      <c r="H204" s="116"/>
    </row>
    <row r="205" spans="2:10" ht="15.6" x14ac:dyDescent="0.3">
      <c r="B205" s="377"/>
      <c r="C205" s="415" t="s">
        <v>362</v>
      </c>
      <c r="D205" s="415"/>
      <c r="E205" s="415"/>
      <c r="F205" s="172"/>
      <c r="H205" s="116"/>
    </row>
    <row r="206" spans="2:10" ht="15.6" x14ac:dyDescent="0.3">
      <c r="B206" s="377">
        <v>43234</v>
      </c>
      <c r="C206" s="415" t="s">
        <v>381</v>
      </c>
      <c r="D206" s="415"/>
      <c r="E206" s="415"/>
      <c r="F206" s="172">
        <v>-186.2</v>
      </c>
      <c r="H206" s="116"/>
    </row>
    <row r="207" spans="2:10" ht="15.6" x14ac:dyDescent="0.3">
      <c r="B207" s="377">
        <v>43285</v>
      </c>
      <c r="C207" s="415" t="s">
        <v>388</v>
      </c>
      <c r="D207" s="415"/>
      <c r="E207" s="415"/>
      <c r="F207" s="172">
        <v>-71.09</v>
      </c>
      <c r="H207" s="116"/>
    </row>
    <row r="208" spans="2:10" ht="15.6" x14ac:dyDescent="0.3">
      <c r="B208" s="377">
        <v>43285</v>
      </c>
      <c r="C208" s="415" t="s">
        <v>389</v>
      </c>
      <c r="D208" s="415"/>
      <c r="E208" s="415"/>
      <c r="F208" s="172">
        <v>-24.75</v>
      </c>
      <c r="H208" s="116"/>
    </row>
    <row r="209" spans="2:8" ht="15.6" x14ac:dyDescent="0.3">
      <c r="B209" s="377">
        <v>43289</v>
      </c>
      <c r="C209" s="415" t="s">
        <v>390</v>
      </c>
      <c r="D209" s="415"/>
      <c r="E209" s="415"/>
      <c r="F209" s="172">
        <v>-326.7</v>
      </c>
      <c r="H209" s="116"/>
    </row>
    <row r="210" spans="2:8" ht="15.6" x14ac:dyDescent="0.3">
      <c r="B210" s="377">
        <v>43290</v>
      </c>
      <c r="C210" s="415" t="s">
        <v>391</v>
      </c>
      <c r="D210" s="415"/>
      <c r="E210" s="415"/>
      <c r="F210" s="172">
        <v>-97.28</v>
      </c>
      <c r="H210" s="116"/>
    </row>
    <row r="211" spans="2:8" ht="15.6" x14ac:dyDescent="0.3">
      <c r="B211" s="377">
        <v>43297</v>
      </c>
      <c r="C211" s="415" t="s">
        <v>392</v>
      </c>
      <c r="D211" s="415"/>
      <c r="E211" s="415"/>
      <c r="F211" s="172">
        <v>-504.57</v>
      </c>
      <c r="H211" s="116"/>
    </row>
    <row r="212" spans="2:8" ht="15.6" x14ac:dyDescent="0.3">
      <c r="B212" s="377">
        <v>43300</v>
      </c>
      <c r="C212" s="415" t="s">
        <v>394</v>
      </c>
      <c r="D212" s="415"/>
      <c r="E212" s="415"/>
      <c r="F212" s="172">
        <v>-150</v>
      </c>
      <c r="H212" s="116"/>
    </row>
    <row r="213" spans="2:8" ht="15.6" x14ac:dyDescent="0.3">
      <c r="B213" s="377">
        <v>43375</v>
      </c>
      <c r="C213" s="415" t="s">
        <v>395</v>
      </c>
      <c r="D213" s="415"/>
      <c r="E213" s="415"/>
      <c r="F213" s="172">
        <v>-549.08000000000004</v>
      </c>
      <c r="H213" s="116"/>
    </row>
    <row r="214" spans="2:8" ht="15.6" x14ac:dyDescent="0.3">
      <c r="B214" s="377">
        <v>43382</v>
      </c>
      <c r="C214" s="415" t="s">
        <v>397</v>
      </c>
      <c r="D214" s="415"/>
      <c r="E214" s="415"/>
      <c r="F214" s="172">
        <v>-48</v>
      </c>
      <c r="H214" s="116"/>
    </row>
    <row r="215" spans="2:8" ht="15.6" x14ac:dyDescent="0.3">
      <c r="B215" s="377">
        <v>43388</v>
      </c>
      <c r="C215" s="415" t="s">
        <v>399</v>
      </c>
      <c r="D215" s="415"/>
      <c r="E215" s="415"/>
      <c r="F215" s="172">
        <v>-202.58</v>
      </c>
      <c r="H215" s="116" t="s">
        <v>400</v>
      </c>
    </row>
    <row r="216" spans="2:8" ht="15.6" x14ac:dyDescent="0.3">
      <c r="B216" s="377">
        <v>43405</v>
      </c>
      <c r="C216" s="415" t="s">
        <v>401</v>
      </c>
      <c r="D216" s="415"/>
      <c r="E216" s="415"/>
      <c r="F216" s="172">
        <v>-315.60000000000002</v>
      </c>
      <c r="H216" s="116"/>
    </row>
    <row r="217" spans="2:8" ht="15.6" x14ac:dyDescent="0.3">
      <c r="B217" s="377"/>
      <c r="C217" s="415"/>
      <c r="D217" s="415"/>
      <c r="E217" s="415"/>
      <c r="F217" s="172"/>
      <c r="H217" s="116"/>
    </row>
    <row r="218" spans="2:8" ht="15.6" x14ac:dyDescent="0.3">
      <c r="B218" s="377"/>
      <c r="C218" s="415" t="s">
        <v>364</v>
      </c>
      <c r="D218" s="415"/>
      <c r="E218" s="415"/>
      <c r="F218" s="172">
        <f>SUM(F205:F216)</f>
        <v>-2475.85</v>
      </c>
      <c r="H218" s="116"/>
    </row>
    <row r="219" spans="2:8" ht="15.6" x14ac:dyDescent="0.3">
      <c r="B219" s="377"/>
      <c r="C219" s="415" t="s">
        <v>363</v>
      </c>
      <c r="D219" s="415"/>
      <c r="E219" s="415"/>
      <c r="F219" s="172"/>
      <c r="H219" s="116"/>
    </row>
    <row r="220" spans="2:8" ht="15.6" x14ac:dyDescent="0.3">
      <c r="B220" s="377">
        <v>43101</v>
      </c>
      <c r="C220" s="415" t="s">
        <v>59</v>
      </c>
      <c r="D220" s="415"/>
      <c r="E220" s="415"/>
      <c r="F220" s="172">
        <v>1.68</v>
      </c>
      <c r="H220" s="193" t="s">
        <v>376</v>
      </c>
    </row>
    <row r="221" spans="2:8" ht="15.6" x14ac:dyDescent="0.3">
      <c r="B221" s="377"/>
      <c r="C221" s="415"/>
      <c r="D221" s="415"/>
      <c r="E221" s="415"/>
      <c r="F221" s="172"/>
      <c r="H221" s="116"/>
    </row>
    <row r="222" spans="2:8" ht="15.6" x14ac:dyDescent="0.3">
      <c r="B222" s="377"/>
      <c r="C222" s="415" t="s">
        <v>365</v>
      </c>
      <c r="D222" s="415"/>
      <c r="E222" s="415"/>
      <c r="F222" s="172">
        <f>SUM(F219:F221)</f>
        <v>1.68</v>
      </c>
      <c r="H222" s="116"/>
    </row>
    <row r="223" spans="2:8" ht="15.6" x14ac:dyDescent="0.3">
      <c r="B223" s="507">
        <f>B2</f>
        <v>43830</v>
      </c>
      <c r="C223" s="508" t="s">
        <v>2</v>
      </c>
      <c r="D223" s="508"/>
      <c r="E223" s="508"/>
      <c r="F223" s="104">
        <f>F204+F218+F222</f>
        <v>5063.6699999999983</v>
      </c>
      <c r="H223" s="116"/>
    </row>
    <row r="224" spans="2:8" ht="16.2" thickBot="1" x14ac:dyDescent="0.35">
      <c r="B224" s="161"/>
      <c r="C224" s="143"/>
      <c r="D224" s="162"/>
      <c r="E224" s="162"/>
      <c r="F224" s="163"/>
      <c r="H224" s="116"/>
    </row>
    <row r="225" spans="1:8" ht="15.6" x14ac:dyDescent="0.3">
      <c r="B225" s="13"/>
      <c r="C225" s="204"/>
      <c r="D225" s="204"/>
      <c r="E225" s="204"/>
      <c r="F225" s="202"/>
    </row>
    <row r="226" spans="1:8" ht="13.8" thickBot="1" x14ac:dyDescent="0.3"/>
    <row r="227" spans="1:8" ht="15.6" x14ac:dyDescent="0.3">
      <c r="A227" s="95"/>
      <c r="B227" s="223" t="s">
        <v>88</v>
      </c>
      <c r="C227" s="182"/>
      <c r="D227" s="182"/>
      <c r="E227" s="393" t="s">
        <v>116</v>
      </c>
      <c r="F227" s="394"/>
    </row>
    <row r="228" spans="1:8" ht="15.6" x14ac:dyDescent="0.3">
      <c r="B228" s="388"/>
      <c r="C228" s="115" t="s">
        <v>60</v>
      </c>
      <c r="D228" s="115"/>
      <c r="E228" s="115"/>
      <c r="F228" s="152">
        <v>0</v>
      </c>
    </row>
    <row r="229" spans="1:8" ht="15.6" x14ac:dyDescent="0.3">
      <c r="B229" s="384" t="s">
        <v>81</v>
      </c>
      <c r="C229" s="374"/>
      <c r="D229" s="155"/>
      <c r="E229" s="155"/>
      <c r="F229" s="177"/>
    </row>
    <row r="230" spans="1:8" ht="15.6" x14ac:dyDescent="0.3">
      <c r="B230" s="135">
        <v>42466</v>
      </c>
      <c r="C230" s="181" t="s">
        <v>89</v>
      </c>
      <c r="D230" s="181"/>
      <c r="E230" s="181"/>
      <c r="F230" s="175">
        <v>1500</v>
      </c>
    </row>
    <row r="231" spans="1:8" ht="15.6" x14ac:dyDescent="0.3">
      <c r="B231" s="174"/>
      <c r="C231" s="181"/>
      <c r="D231" s="181"/>
      <c r="E231" s="181"/>
      <c r="F231" s="175"/>
    </row>
    <row r="232" spans="1:8" ht="15.6" x14ac:dyDescent="0.3">
      <c r="B232" s="174"/>
      <c r="C232" s="211" t="s">
        <v>152</v>
      </c>
      <c r="D232" s="211"/>
      <c r="E232" s="211"/>
      <c r="F232" s="210">
        <f>F228+F230</f>
        <v>1500</v>
      </c>
      <c r="G232" s="7"/>
    </row>
    <row r="233" spans="1:8" ht="15.6" x14ac:dyDescent="0.3">
      <c r="B233" s="206">
        <v>42710</v>
      </c>
      <c r="C233" s="227" t="s">
        <v>153</v>
      </c>
      <c r="D233" s="227"/>
      <c r="E233" s="227"/>
      <c r="F233" s="152">
        <f>-1500</f>
        <v>-1500</v>
      </c>
      <c r="G233" s="7"/>
    </row>
    <row r="234" spans="1:8" ht="16.2" thickBot="1" x14ac:dyDescent="0.35">
      <c r="B234" s="395">
        <f>B191</f>
        <v>42735</v>
      </c>
      <c r="C234" s="396" t="str">
        <f>C191</f>
        <v>Saldo</v>
      </c>
      <c r="D234" s="396"/>
      <c r="E234" s="396"/>
      <c r="F234" s="209">
        <f>'project 2016'!F133</f>
        <v>0</v>
      </c>
      <c r="G234" s="504"/>
    </row>
    <row r="235" spans="1:8" ht="15.6" x14ac:dyDescent="0.3">
      <c r="B235" s="447">
        <v>42796</v>
      </c>
      <c r="C235" s="448" t="s">
        <v>375</v>
      </c>
      <c r="D235" s="448"/>
      <c r="E235" s="448"/>
      <c r="F235" s="449">
        <v>1500</v>
      </c>
      <c r="G235" s="155"/>
    </row>
    <row r="236" spans="1:8" ht="16.2" thickBot="1" x14ac:dyDescent="0.35">
      <c r="B236" s="395">
        <v>43100</v>
      </c>
      <c r="C236" s="396" t="s">
        <v>2</v>
      </c>
      <c r="D236" s="396"/>
      <c r="E236" s="396"/>
      <c r="F236" s="209">
        <f>F235</f>
        <v>1500</v>
      </c>
      <c r="G236" s="504"/>
    </row>
    <row r="237" spans="1:8" ht="15.6" x14ac:dyDescent="0.3">
      <c r="B237" s="377"/>
      <c r="C237" s="415" t="s">
        <v>362</v>
      </c>
      <c r="D237" s="415"/>
      <c r="E237" s="415"/>
      <c r="F237" s="172"/>
      <c r="G237" s="504"/>
    </row>
    <row r="238" spans="1:8" ht="15.6" x14ac:dyDescent="0.3">
      <c r="B238" s="377">
        <v>43171</v>
      </c>
      <c r="C238" s="415" t="s">
        <v>372</v>
      </c>
      <c r="D238" s="415"/>
      <c r="E238" s="415"/>
      <c r="F238" s="172">
        <v>-1500</v>
      </c>
      <c r="G238" s="504"/>
      <c r="H238" t="s">
        <v>374</v>
      </c>
    </row>
    <row r="239" spans="1:8" ht="15.6" x14ac:dyDescent="0.3">
      <c r="B239" s="377">
        <v>43171</v>
      </c>
      <c r="C239" s="415" t="s">
        <v>373</v>
      </c>
      <c r="D239" s="415"/>
      <c r="E239" s="415"/>
      <c r="F239" s="172">
        <v>-1500</v>
      </c>
      <c r="G239" s="504"/>
      <c r="H239" t="s">
        <v>374</v>
      </c>
    </row>
    <row r="240" spans="1:8" ht="15.6" x14ac:dyDescent="0.3">
      <c r="B240" s="377"/>
      <c r="C240" s="415" t="s">
        <v>364</v>
      </c>
      <c r="D240" s="415"/>
      <c r="E240" s="415"/>
      <c r="F240" s="172">
        <f>SUM(F237:F239)</f>
        <v>-3000</v>
      </c>
      <c r="G240" s="504"/>
    </row>
    <row r="241" spans="1:8" ht="15.6" x14ac:dyDescent="0.3">
      <c r="B241" s="377"/>
      <c r="C241" s="415" t="s">
        <v>363</v>
      </c>
      <c r="D241" s="415"/>
      <c r="E241" s="415"/>
      <c r="F241" s="172"/>
      <c r="G241" s="504"/>
    </row>
    <row r="242" spans="1:8" ht="15.6" x14ac:dyDescent="0.3">
      <c r="B242" s="377">
        <v>43154</v>
      </c>
      <c r="C242" s="415" t="s">
        <v>369</v>
      </c>
      <c r="D242" s="415"/>
      <c r="E242" s="415"/>
      <c r="F242" s="172">
        <v>3000</v>
      </c>
      <c r="G242" s="504"/>
      <c r="H242" s="7" t="s">
        <v>376</v>
      </c>
    </row>
    <row r="243" spans="1:8" ht="15.6" x14ac:dyDescent="0.3">
      <c r="B243" s="377"/>
      <c r="C243" s="415"/>
      <c r="D243" s="415"/>
      <c r="E243" s="415"/>
      <c r="F243" s="172"/>
      <c r="G243" s="504"/>
    </row>
    <row r="244" spans="1:8" ht="15.6" x14ac:dyDescent="0.3">
      <c r="B244" s="377"/>
      <c r="C244" s="415" t="s">
        <v>365</v>
      </c>
      <c r="D244" s="415"/>
      <c r="E244" s="415"/>
      <c r="F244" s="172">
        <f>SUM(F241:F243)</f>
        <v>3000</v>
      </c>
      <c r="G244" s="504"/>
    </row>
    <row r="245" spans="1:8" ht="15.6" x14ac:dyDescent="0.3">
      <c r="B245" s="507">
        <f>B2</f>
        <v>43830</v>
      </c>
      <c r="C245" s="508" t="s">
        <v>2</v>
      </c>
      <c r="D245" s="508"/>
      <c r="E245" s="508"/>
      <c r="F245" s="104">
        <f>F236+F240+F244</f>
        <v>1500</v>
      </c>
      <c r="G245" s="504"/>
    </row>
    <row r="246" spans="1:8" ht="16.2" thickBot="1" x14ac:dyDescent="0.35">
      <c r="B246" s="161"/>
      <c r="C246" s="143"/>
      <c r="D246" s="162"/>
      <c r="E246" s="162"/>
      <c r="F246" s="163"/>
    </row>
    <row r="247" spans="1:8" ht="13.8" thickBot="1" x14ac:dyDescent="0.3"/>
    <row r="248" spans="1:8" ht="15.6" x14ac:dyDescent="0.3">
      <c r="A248" s="95"/>
      <c r="B248" s="223" t="s">
        <v>93</v>
      </c>
      <c r="C248" s="182"/>
      <c r="D248" s="182"/>
      <c r="E248" s="393" t="s">
        <v>117</v>
      </c>
      <c r="F248" s="394"/>
    </row>
    <row r="249" spans="1:8" ht="15.6" x14ac:dyDescent="0.3">
      <c r="B249" s="388"/>
      <c r="C249" s="115" t="s">
        <v>60</v>
      </c>
      <c r="D249" s="115"/>
      <c r="E249" s="115"/>
      <c r="F249" s="152">
        <v>0</v>
      </c>
    </row>
    <row r="250" spans="1:8" ht="15.6" x14ac:dyDescent="0.3">
      <c r="B250" s="384" t="s">
        <v>81</v>
      </c>
      <c r="C250" s="374"/>
      <c r="D250" s="155"/>
      <c r="E250" s="155"/>
      <c r="F250" s="177"/>
    </row>
    <row r="251" spans="1:8" ht="15.6" x14ac:dyDescent="0.3">
      <c r="B251" s="135">
        <v>42426</v>
      </c>
      <c r="C251" s="181" t="s">
        <v>94</v>
      </c>
      <c r="D251" s="181"/>
      <c r="E251" s="181"/>
      <c r="F251" s="175">
        <v>200</v>
      </c>
    </row>
    <row r="252" spans="1:8" ht="15.6" x14ac:dyDescent="0.3">
      <c r="B252" s="174"/>
      <c r="C252" s="181" t="s">
        <v>220</v>
      </c>
      <c r="D252" s="181"/>
      <c r="E252" s="181"/>
      <c r="F252" s="175">
        <f>'fin overz 31 dec 2016'!I24</f>
        <v>-151.34</v>
      </c>
    </row>
    <row r="253" spans="1:8" ht="15.6" x14ac:dyDescent="0.3">
      <c r="B253" s="105">
        <f>B234</f>
        <v>42735</v>
      </c>
      <c r="C253" s="227" t="str">
        <f>C234</f>
        <v>Saldo</v>
      </c>
      <c r="D253" s="227"/>
      <c r="E253" s="227"/>
      <c r="F253" s="152">
        <f>'project 2016'!F141</f>
        <v>48.66</v>
      </c>
      <c r="G253" s="503"/>
    </row>
    <row r="254" spans="1:8" ht="15.6" x14ac:dyDescent="0.3">
      <c r="B254" s="359"/>
      <c r="C254" s="211" t="s">
        <v>263</v>
      </c>
      <c r="D254" s="211"/>
      <c r="E254" s="211"/>
      <c r="F254" s="210">
        <v>0</v>
      </c>
      <c r="G254" s="7"/>
    </row>
    <row r="255" spans="1:8" ht="15.6" x14ac:dyDescent="0.3">
      <c r="B255" s="359"/>
      <c r="C255" s="211" t="s">
        <v>262</v>
      </c>
      <c r="D255" s="211"/>
      <c r="E255" s="211"/>
      <c r="F255" s="210">
        <v>0</v>
      </c>
      <c r="G255" s="7"/>
    </row>
    <row r="256" spans="1:8" ht="15.6" x14ac:dyDescent="0.3">
      <c r="B256" s="359"/>
      <c r="C256" s="211"/>
      <c r="D256" s="211"/>
      <c r="E256" s="211"/>
      <c r="F256" s="210"/>
      <c r="G256" s="7"/>
    </row>
    <row r="257" spans="1:8" ht="15.6" x14ac:dyDescent="0.3">
      <c r="B257" s="105">
        <v>43465</v>
      </c>
      <c r="C257" s="227" t="s">
        <v>2</v>
      </c>
      <c r="D257" s="227"/>
      <c r="E257" s="227"/>
      <c r="F257" s="152">
        <f>F253+F254+F256</f>
        <v>48.66</v>
      </c>
      <c r="G257" s="504"/>
    </row>
    <row r="258" spans="1:8" ht="15.6" x14ac:dyDescent="0.3">
      <c r="B258" s="377"/>
      <c r="C258" s="415" t="s">
        <v>362</v>
      </c>
      <c r="D258" s="415"/>
      <c r="E258" s="415"/>
      <c r="F258" s="172"/>
      <c r="G258" s="504"/>
    </row>
    <row r="259" spans="1:8" ht="15.6" x14ac:dyDescent="0.3">
      <c r="B259" s="377"/>
      <c r="C259" s="415"/>
      <c r="D259" s="415"/>
      <c r="E259" s="415"/>
      <c r="F259" s="172"/>
      <c r="G259" s="504"/>
    </row>
    <row r="260" spans="1:8" ht="15.6" x14ac:dyDescent="0.3">
      <c r="B260" s="377"/>
      <c r="C260" s="415"/>
      <c r="D260" s="415"/>
      <c r="E260" s="415"/>
      <c r="F260" s="172"/>
      <c r="G260" s="504"/>
    </row>
    <row r="261" spans="1:8" ht="15.6" x14ac:dyDescent="0.3">
      <c r="B261" s="377"/>
      <c r="C261" s="415" t="s">
        <v>364</v>
      </c>
      <c r="D261" s="415"/>
      <c r="E261" s="415"/>
      <c r="F261" s="172">
        <f>SUM(F258:F260)</f>
        <v>0</v>
      </c>
      <c r="G261" s="504"/>
    </row>
    <row r="262" spans="1:8" ht="15.6" x14ac:dyDescent="0.3">
      <c r="B262" s="377"/>
      <c r="C262" s="415" t="s">
        <v>363</v>
      </c>
      <c r="D262" s="415"/>
      <c r="E262" s="415"/>
      <c r="F262" s="172"/>
      <c r="G262" s="504"/>
    </row>
    <row r="263" spans="1:8" ht="15.6" x14ac:dyDescent="0.3">
      <c r="B263" s="377"/>
      <c r="C263" s="415"/>
      <c r="D263" s="415"/>
      <c r="E263" s="415"/>
      <c r="F263" s="172"/>
      <c r="G263" s="504"/>
    </row>
    <row r="264" spans="1:8" ht="15.6" x14ac:dyDescent="0.3">
      <c r="B264" s="377"/>
      <c r="C264" s="415"/>
      <c r="D264" s="415"/>
      <c r="E264" s="415"/>
      <c r="F264" s="172"/>
      <c r="G264" s="504"/>
    </row>
    <row r="265" spans="1:8" ht="16.2" thickBot="1" x14ac:dyDescent="0.35">
      <c r="B265" s="377"/>
      <c r="C265" s="415" t="s">
        <v>365</v>
      </c>
      <c r="D265" s="415"/>
      <c r="E265" s="415"/>
      <c r="F265" s="172">
        <f>SUM(F262:F264)</f>
        <v>0</v>
      </c>
      <c r="G265" s="504"/>
    </row>
    <row r="266" spans="1:8" ht="16.2" thickBot="1" x14ac:dyDescent="0.35">
      <c r="B266" s="511">
        <f>B2</f>
        <v>43830</v>
      </c>
      <c r="C266" s="512" t="s">
        <v>2</v>
      </c>
      <c r="D266" s="512"/>
      <c r="E266" s="512"/>
      <c r="F266" s="513">
        <f>F257+F261+F265</f>
        <v>48.66</v>
      </c>
      <c r="H266">
        <v>926</v>
      </c>
    </row>
    <row r="267" spans="1:8" ht="16.2" thickBot="1" x14ac:dyDescent="0.35">
      <c r="B267" s="9"/>
      <c r="C267" s="9"/>
      <c r="D267" s="9"/>
      <c r="E267" s="9"/>
      <c r="F267" s="10"/>
    </row>
    <row r="268" spans="1:8" ht="15.6" x14ac:dyDescent="0.3">
      <c r="A268" s="95"/>
      <c r="B268" s="514"/>
      <c r="C268" s="156"/>
      <c r="D268" s="157"/>
      <c r="E268" s="157" t="s">
        <v>366</v>
      </c>
      <c r="F268" s="158"/>
    </row>
    <row r="269" spans="1:8" ht="15.6" x14ac:dyDescent="0.3">
      <c r="B269" s="388"/>
      <c r="C269" s="115" t="s">
        <v>60</v>
      </c>
      <c r="D269" s="115"/>
      <c r="E269" s="115"/>
      <c r="F269" s="152">
        <v>0</v>
      </c>
    </row>
    <row r="270" spans="1:8" ht="15.6" x14ac:dyDescent="0.3">
      <c r="B270" s="384" t="s">
        <v>81</v>
      </c>
      <c r="C270" s="374"/>
      <c r="D270" s="155"/>
      <c r="E270" s="155"/>
      <c r="F270" s="177"/>
    </row>
    <row r="271" spans="1:8" ht="15.6" x14ac:dyDescent="0.3">
      <c r="B271" s="135">
        <v>42493</v>
      </c>
      <c r="C271" s="181" t="s">
        <v>92</v>
      </c>
      <c r="D271" s="181"/>
      <c r="E271" s="181"/>
      <c r="F271" s="175">
        <v>300</v>
      </c>
    </row>
    <row r="272" spans="1:8" ht="15.6" x14ac:dyDescent="0.3">
      <c r="B272" s="174"/>
      <c r="C272" s="181"/>
      <c r="D272" s="181"/>
      <c r="E272" s="181"/>
      <c r="F272" s="175"/>
    </row>
    <row r="273" spans="2:15" ht="15.6" x14ac:dyDescent="0.3">
      <c r="B273" s="174"/>
      <c r="C273" s="211" t="s">
        <v>150</v>
      </c>
      <c r="D273" s="211"/>
      <c r="E273" s="211"/>
      <c r="F273" s="210">
        <f>F269+F271</f>
        <v>300</v>
      </c>
      <c r="G273" s="7"/>
    </row>
    <row r="274" spans="2:15" ht="15.6" x14ac:dyDescent="0.3">
      <c r="B274" s="206">
        <v>42710</v>
      </c>
      <c r="C274" s="227" t="s">
        <v>154</v>
      </c>
      <c r="D274" s="227"/>
      <c r="E274" s="227"/>
      <c r="F274" s="152">
        <v>-300.01</v>
      </c>
      <c r="G274" s="7"/>
    </row>
    <row r="275" spans="2:15" ht="15.6" x14ac:dyDescent="0.3">
      <c r="B275" s="359">
        <v>42734</v>
      </c>
      <c r="C275" s="211" t="str">
        <f>C253</f>
        <v>Saldo</v>
      </c>
      <c r="D275" s="211"/>
      <c r="E275" s="211"/>
      <c r="F275" s="210">
        <f>F273+F274</f>
        <v>-9.9999999999909051E-3</v>
      </c>
      <c r="H275" s="348"/>
      <c r="I275" s="116"/>
      <c r="J275" s="116"/>
      <c r="K275" s="116"/>
      <c r="L275" s="116"/>
      <c r="M275" s="116"/>
    </row>
    <row r="276" spans="2:15" ht="15.6" x14ac:dyDescent="0.3">
      <c r="B276" s="400"/>
      <c r="C276" s="180" t="s">
        <v>240</v>
      </c>
      <c r="D276" s="180"/>
      <c r="E276" s="180"/>
      <c r="F276" s="175">
        <f>-F275</f>
        <v>9.9999999999909051E-3</v>
      </c>
      <c r="G276" s="95"/>
      <c r="H276" s="348" t="s">
        <v>332</v>
      </c>
      <c r="I276" s="116"/>
      <c r="J276" s="116"/>
      <c r="K276" s="116"/>
      <c r="L276" s="116"/>
      <c r="M276" s="116"/>
    </row>
    <row r="277" spans="2:15" ht="15.6" x14ac:dyDescent="0.3">
      <c r="B277" s="359">
        <f>B2</f>
        <v>43830</v>
      </c>
      <c r="C277" s="211" t="s">
        <v>239</v>
      </c>
      <c r="D277" s="211"/>
      <c r="E277" s="211"/>
      <c r="F277" s="210">
        <f>F275+F276</f>
        <v>0</v>
      </c>
      <c r="H277" s="348"/>
      <c r="I277" s="116"/>
      <c r="J277" s="116"/>
      <c r="K277" s="116"/>
      <c r="L277" s="116"/>
      <c r="M277" s="116"/>
    </row>
    <row r="278" spans="2:15" ht="13.8" thickBot="1" x14ac:dyDescent="0.3">
      <c r="B278" s="142"/>
      <c r="C278" s="162"/>
      <c r="D278" s="162"/>
      <c r="E278" s="162"/>
      <c r="F278" s="178"/>
      <c r="H278" s="348"/>
      <c r="I278" s="116"/>
      <c r="J278" s="116"/>
      <c r="K278" s="7"/>
      <c r="L278" s="116"/>
      <c r="M278" s="116"/>
    </row>
    <row r="279" spans="2:15" ht="13.8" thickBot="1" x14ac:dyDescent="0.3">
      <c r="H279" s="348"/>
      <c r="I279" s="116"/>
      <c r="J279" s="116"/>
      <c r="K279" s="116"/>
      <c r="L279" s="116"/>
      <c r="M279" s="116"/>
    </row>
    <row r="280" spans="2:15" ht="15.6" x14ac:dyDescent="0.3">
      <c r="B280" s="223" t="s">
        <v>122</v>
      </c>
      <c r="C280" s="182"/>
      <c r="D280" s="182"/>
      <c r="E280" s="397" t="s">
        <v>119</v>
      </c>
      <c r="F280" s="394"/>
      <c r="H280" s="348"/>
      <c r="I280" s="116"/>
      <c r="J280" s="116"/>
      <c r="K280" s="204"/>
      <c r="L280" s="204"/>
      <c r="M280" s="204"/>
      <c r="N280" s="204"/>
      <c r="O280" s="202"/>
    </row>
    <row r="281" spans="2:15" ht="15.6" x14ac:dyDescent="0.3">
      <c r="B281" s="388"/>
      <c r="C281" s="115" t="s">
        <v>60</v>
      </c>
      <c r="D281" s="115"/>
      <c r="E281" s="115"/>
      <c r="F281" s="152">
        <v>0</v>
      </c>
      <c r="H281" s="348"/>
      <c r="I281" s="116"/>
      <c r="J281" s="116"/>
      <c r="K281" s="204"/>
      <c r="L281" s="204"/>
      <c r="M281" s="204"/>
      <c r="N281" s="204"/>
      <c r="O281" s="202"/>
    </row>
    <row r="282" spans="2:15" ht="15.6" x14ac:dyDescent="0.3">
      <c r="B282" s="384" t="s">
        <v>81</v>
      </c>
      <c r="C282" s="374"/>
      <c r="D282" s="155"/>
      <c r="E282" s="155"/>
      <c r="F282" s="177"/>
      <c r="K282" s="204"/>
      <c r="L282" s="204"/>
      <c r="M282" s="204"/>
      <c r="N282" s="204"/>
      <c r="O282" s="202"/>
    </row>
    <row r="283" spans="2:15" ht="15.6" x14ac:dyDescent="0.3">
      <c r="B283" s="174"/>
      <c r="C283" s="181" t="s">
        <v>209</v>
      </c>
      <c r="D283" s="181"/>
      <c r="E283" s="375"/>
      <c r="F283" s="175">
        <v>10000</v>
      </c>
      <c r="K283" s="204"/>
      <c r="L283" s="204"/>
      <c r="M283" s="204"/>
      <c r="N283" s="204"/>
      <c r="O283" s="202"/>
    </row>
    <row r="284" spans="2:15" ht="15.6" x14ac:dyDescent="0.3">
      <c r="B284" s="174"/>
      <c r="C284" s="181"/>
      <c r="D284" s="181"/>
      <c r="E284" s="200"/>
      <c r="F284" s="175"/>
      <c r="K284" s="204"/>
      <c r="L284" s="204"/>
      <c r="M284" s="204"/>
      <c r="N284" s="204"/>
      <c r="O284" s="202"/>
    </row>
    <row r="285" spans="2:15" ht="15.6" x14ac:dyDescent="0.3">
      <c r="B285" s="174"/>
      <c r="C285" s="181" t="s">
        <v>101</v>
      </c>
      <c r="D285" s="181"/>
      <c r="E285" s="200"/>
      <c r="F285" s="175">
        <v>0</v>
      </c>
      <c r="K285" s="204"/>
      <c r="L285" s="204"/>
      <c r="M285" s="204"/>
      <c r="N285" s="204"/>
      <c r="O285" s="202"/>
    </row>
    <row r="286" spans="2:15" ht="15.6" x14ac:dyDescent="0.3">
      <c r="B286" s="359">
        <f>B275</f>
        <v>42734</v>
      </c>
      <c r="C286" s="211" t="str">
        <f>C275</f>
        <v>Saldo</v>
      </c>
      <c r="D286" s="211"/>
      <c r="E286" s="211"/>
      <c r="F286" s="210">
        <f>'project 2016'!F162</f>
        <v>10000</v>
      </c>
      <c r="G286" s="7"/>
      <c r="K286" s="204"/>
      <c r="L286" s="204"/>
      <c r="M286" s="204"/>
      <c r="N286" s="204"/>
      <c r="O286" s="202"/>
    </row>
    <row r="287" spans="2:15" ht="15.6" x14ac:dyDescent="0.3">
      <c r="B287" s="400" t="s">
        <v>175</v>
      </c>
      <c r="C287" s="180"/>
      <c r="D287" s="180"/>
      <c r="E287" s="180"/>
      <c r="F287" s="175"/>
      <c r="G287" s="7"/>
      <c r="K287" s="204"/>
      <c r="L287" s="204"/>
      <c r="M287" s="204"/>
      <c r="N287" s="204"/>
      <c r="O287" s="202"/>
    </row>
    <row r="288" spans="2:15" ht="15.6" x14ac:dyDescent="0.3">
      <c r="B288" s="400">
        <v>42784</v>
      </c>
      <c r="C288" s="180" t="s">
        <v>229</v>
      </c>
      <c r="D288" s="180"/>
      <c r="E288" s="180"/>
      <c r="F288" s="175">
        <v>250</v>
      </c>
      <c r="G288" s="107"/>
      <c r="H288" t="s">
        <v>330</v>
      </c>
      <c r="K288" s="204"/>
      <c r="L288" s="204"/>
      <c r="M288" s="204"/>
      <c r="N288" s="204"/>
      <c r="O288" s="202"/>
    </row>
    <row r="289" spans="2:15" ht="15.6" x14ac:dyDescent="0.3">
      <c r="B289" s="400">
        <v>42769</v>
      </c>
      <c r="C289" s="180" t="s">
        <v>249</v>
      </c>
      <c r="D289" s="180"/>
      <c r="E289" s="180"/>
      <c r="F289" s="175">
        <v>62.5</v>
      </c>
      <c r="G289" s="107"/>
      <c r="H289" t="s">
        <v>330</v>
      </c>
      <c r="K289" s="204"/>
      <c r="L289" s="204"/>
      <c r="M289" s="204"/>
      <c r="N289" s="204"/>
      <c r="O289" s="202"/>
    </row>
    <row r="290" spans="2:15" ht="15.6" x14ac:dyDescent="0.3">
      <c r="B290" s="400">
        <v>42787</v>
      </c>
      <c r="C290" s="180" t="s">
        <v>233</v>
      </c>
      <c r="D290" s="180"/>
      <c r="E290" s="180"/>
      <c r="F290" s="175">
        <f>-F133</f>
        <v>1884</v>
      </c>
      <c r="G290" s="107"/>
      <c r="H290" t="s">
        <v>334</v>
      </c>
      <c r="K290" s="204"/>
      <c r="L290" s="204"/>
      <c r="M290" s="204"/>
      <c r="N290" s="204"/>
      <c r="O290" s="202"/>
    </row>
    <row r="291" spans="2:15" ht="15.6" x14ac:dyDescent="0.3">
      <c r="B291" s="400">
        <v>42787</v>
      </c>
      <c r="C291" s="180" t="s">
        <v>281</v>
      </c>
      <c r="D291" s="211"/>
      <c r="E291" s="180"/>
      <c r="F291" s="175">
        <v>500</v>
      </c>
      <c r="G291" s="107"/>
      <c r="H291" t="s">
        <v>330</v>
      </c>
      <c r="K291" s="204"/>
      <c r="L291" s="204"/>
      <c r="M291" s="204"/>
      <c r="N291" s="204"/>
      <c r="O291" s="202"/>
    </row>
    <row r="292" spans="2:15" ht="15.6" x14ac:dyDescent="0.3">
      <c r="B292" s="400">
        <v>42796</v>
      </c>
      <c r="C292" s="180" t="s">
        <v>248</v>
      </c>
      <c r="D292" s="180"/>
      <c r="E292" s="180"/>
      <c r="F292" s="175">
        <v>500</v>
      </c>
      <c r="G292" s="107"/>
      <c r="H292" t="s">
        <v>330</v>
      </c>
      <c r="K292" s="204"/>
      <c r="L292" s="204"/>
      <c r="M292" s="204"/>
      <c r="N292" s="204"/>
      <c r="O292" s="202"/>
    </row>
    <row r="293" spans="2:15" ht="15.6" x14ac:dyDescent="0.3">
      <c r="B293" s="400">
        <v>42922</v>
      </c>
      <c r="C293" s="180" t="s">
        <v>259</v>
      </c>
      <c r="D293" s="180"/>
      <c r="E293" s="180"/>
      <c r="F293" s="175">
        <v>600</v>
      </c>
      <c r="G293" s="107"/>
      <c r="H293" t="s">
        <v>330</v>
      </c>
      <c r="K293" s="204"/>
      <c r="L293" s="204"/>
      <c r="M293" s="204"/>
      <c r="N293" s="204"/>
      <c r="O293" s="202"/>
    </row>
    <row r="294" spans="2:15" ht="15.6" x14ac:dyDescent="0.3">
      <c r="B294" s="400">
        <v>42934</v>
      </c>
      <c r="C294" s="180" t="s">
        <v>260</v>
      </c>
      <c r="D294" s="180"/>
      <c r="E294" s="180"/>
      <c r="F294" s="175">
        <v>450</v>
      </c>
      <c r="G294" s="107"/>
      <c r="H294" t="s">
        <v>330</v>
      </c>
      <c r="I294" s="7" t="s">
        <v>346</v>
      </c>
      <c r="K294" s="204"/>
      <c r="L294" s="204"/>
      <c r="M294" s="204"/>
      <c r="N294" s="204"/>
      <c r="O294" s="202"/>
    </row>
    <row r="295" spans="2:15" ht="15.6" x14ac:dyDescent="0.3">
      <c r="B295" s="400">
        <v>42940</v>
      </c>
      <c r="C295" s="180" t="s">
        <v>258</v>
      </c>
      <c r="D295" s="180"/>
      <c r="E295" s="180"/>
      <c r="F295" s="175">
        <v>500</v>
      </c>
      <c r="G295" s="107"/>
      <c r="H295" t="s">
        <v>330</v>
      </c>
      <c r="K295" s="204"/>
      <c r="L295" s="204"/>
      <c r="M295" s="204"/>
      <c r="N295" s="204"/>
      <c r="O295" s="202"/>
    </row>
    <row r="296" spans="2:15" ht="22.8" x14ac:dyDescent="0.4">
      <c r="B296" s="400">
        <v>42986</v>
      </c>
      <c r="C296" s="180" t="s">
        <v>347</v>
      </c>
      <c r="D296" s="180"/>
      <c r="E296" s="180"/>
      <c r="F296" s="175">
        <v>2.4300000000000002</v>
      </c>
      <c r="G296" s="107"/>
      <c r="H296" t="s">
        <v>330</v>
      </c>
      <c r="I296" s="505" t="s">
        <v>343</v>
      </c>
      <c r="J296" s="505" t="s">
        <v>344</v>
      </c>
      <c r="K296" s="204"/>
      <c r="L296" s="204"/>
      <c r="M296" s="204"/>
      <c r="N296" s="204"/>
      <c r="O296" s="202"/>
    </row>
    <row r="297" spans="2:15" ht="22.8" x14ac:dyDescent="0.4">
      <c r="B297" s="400">
        <v>42998</v>
      </c>
      <c r="C297" s="180" t="s">
        <v>347</v>
      </c>
      <c r="D297" s="180"/>
      <c r="E297" s="180"/>
      <c r="F297" s="175">
        <v>58.35</v>
      </c>
      <c r="G297" s="107"/>
      <c r="H297" t="s">
        <v>330</v>
      </c>
      <c r="I297" s="505" t="s">
        <v>343</v>
      </c>
      <c r="J297" s="505" t="s">
        <v>345</v>
      </c>
      <c r="K297" s="204"/>
      <c r="L297" s="204"/>
      <c r="M297" s="204"/>
      <c r="N297" s="204"/>
      <c r="O297" s="202"/>
    </row>
    <row r="298" spans="2:15" ht="15.6" x14ac:dyDescent="0.3">
      <c r="B298" s="400">
        <v>43098</v>
      </c>
      <c r="C298" s="180" t="s">
        <v>288</v>
      </c>
      <c r="D298" s="180"/>
      <c r="E298" s="180"/>
      <c r="F298" s="175">
        <v>5175</v>
      </c>
      <c r="G298" s="107"/>
      <c r="H298" t="s">
        <v>330</v>
      </c>
      <c r="J298">
        <f>2.43+58.35</f>
        <v>60.78</v>
      </c>
      <c r="K298" s="204"/>
      <c r="L298" s="204"/>
      <c r="M298" s="204"/>
      <c r="N298" s="204"/>
      <c r="O298" s="202"/>
    </row>
    <row r="299" spans="2:15" ht="15.6" x14ac:dyDescent="0.3">
      <c r="B299" s="359" t="s">
        <v>268</v>
      </c>
      <c r="C299" s="211"/>
      <c r="D299" s="211"/>
      <c r="E299" s="211"/>
      <c r="F299" s="210">
        <f>SUM(F288:F298)</f>
        <v>9982.2800000000007</v>
      </c>
      <c r="G299" s="7"/>
      <c r="K299" s="204"/>
      <c r="L299" s="204"/>
      <c r="M299" s="204"/>
      <c r="N299" s="204"/>
      <c r="O299" s="202"/>
    </row>
    <row r="300" spans="2:15" ht="15.6" x14ac:dyDescent="0.3">
      <c r="B300" s="359" t="s">
        <v>219</v>
      </c>
      <c r="C300" s="211"/>
      <c r="D300" s="211"/>
      <c r="E300" s="211"/>
      <c r="F300" s="210">
        <f>F286+F299</f>
        <v>19982.28</v>
      </c>
      <c r="G300" s="7"/>
      <c r="K300" s="204"/>
      <c r="L300" s="204"/>
      <c r="M300" s="204"/>
      <c r="N300" s="204"/>
      <c r="O300" s="202"/>
    </row>
    <row r="301" spans="2:15" ht="15.6" x14ac:dyDescent="0.3">
      <c r="B301" s="400" t="s">
        <v>176</v>
      </c>
      <c r="C301" s="180"/>
      <c r="D301" s="180"/>
      <c r="E301" s="180"/>
      <c r="F301" s="175"/>
      <c r="G301" s="7"/>
      <c r="K301" s="204"/>
      <c r="L301" s="204"/>
      <c r="M301" s="204"/>
      <c r="N301" s="204"/>
      <c r="O301" s="202"/>
    </row>
    <row r="302" spans="2:15" ht="15.6" x14ac:dyDescent="0.3">
      <c r="B302" s="400">
        <v>42839</v>
      </c>
      <c r="C302" s="180" t="s">
        <v>245</v>
      </c>
      <c r="D302" s="180"/>
      <c r="E302" s="180"/>
      <c r="F302" s="175">
        <v>-11.97</v>
      </c>
      <c r="G302" s="107"/>
      <c r="H302" s="226" t="s">
        <v>351</v>
      </c>
      <c r="I302" s="107" t="s">
        <v>356</v>
      </c>
      <c r="J302" t="s">
        <v>358</v>
      </c>
      <c r="K302" s="204"/>
      <c r="L302" s="204"/>
      <c r="M302" s="204"/>
      <c r="N302" s="204"/>
      <c r="O302" s="202"/>
    </row>
    <row r="303" spans="2:15" ht="15.6" x14ac:dyDescent="0.3">
      <c r="B303" s="400">
        <v>42839</v>
      </c>
      <c r="C303" s="180" t="s">
        <v>246</v>
      </c>
      <c r="D303" s="180"/>
      <c r="E303" s="180"/>
      <c r="F303" s="175">
        <v>-124.06</v>
      </c>
      <c r="G303" s="107"/>
      <c r="H303" s="226" t="s">
        <v>351</v>
      </c>
      <c r="I303" s="107" t="s">
        <v>359</v>
      </c>
      <c r="J303" t="s">
        <v>357</v>
      </c>
      <c r="K303" s="204"/>
      <c r="L303" s="204"/>
      <c r="M303" s="204"/>
      <c r="N303" s="204"/>
      <c r="O303" s="202"/>
    </row>
    <row r="304" spans="2:15" ht="15.6" x14ac:dyDescent="0.3">
      <c r="B304" s="400">
        <v>42840</v>
      </c>
      <c r="C304" s="180" t="s">
        <v>247</v>
      </c>
      <c r="D304" s="180"/>
      <c r="E304" s="180"/>
      <c r="F304" s="175">
        <v>-231.8</v>
      </c>
      <c r="G304" s="107"/>
      <c r="H304" s="226" t="s">
        <v>351</v>
      </c>
      <c r="I304" s="107" t="s">
        <v>357</v>
      </c>
      <c r="J304" t="s">
        <v>357</v>
      </c>
      <c r="K304" s="204"/>
      <c r="L304" s="204"/>
      <c r="M304" s="204"/>
      <c r="N304" s="204"/>
      <c r="O304" s="202"/>
    </row>
    <row r="305" spans="2:15" ht="15.6" x14ac:dyDescent="0.3">
      <c r="B305" s="400">
        <v>42874</v>
      </c>
      <c r="C305" s="180" t="s">
        <v>250</v>
      </c>
      <c r="D305" s="180"/>
      <c r="E305" s="180"/>
      <c r="F305" s="175">
        <v>-2650</v>
      </c>
      <c r="G305" s="107"/>
      <c r="H305" s="7" t="s">
        <v>339</v>
      </c>
      <c r="K305" s="204"/>
      <c r="L305" s="204"/>
      <c r="M305" s="204"/>
      <c r="N305" s="204"/>
      <c r="O305" s="202"/>
    </row>
    <row r="306" spans="2:15" ht="15.6" x14ac:dyDescent="0.3">
      <c r="B306" s="400">
        <v>42874</v>
      </c>
      <c r="C306" s="180" t="s">
        <v>251</v>
      </c>
      <c r="D306" s="180"/>
      <c r="E306" s="180"/>
      <c r="F306" s="175">
        <v>-250</v>
      </c>
      <c r="G306" s="107"/>
      <c r="H306" s="7" t="s">
        <v>340</v>
      </c>
      <c r="K306" s="204"/>
      <c r="L306" s="204"/>
      <c r="M306" s="204"/>
      <c r="N306" s="204"/>
      <c r="O306" s="202"/>
    </row>
    <row r="307" spans="2:15" ht="15.6" x14ac:dyDescent="0.3">
      <c r="B307" s="400">
        <v>42912</v>
      </c>
      <c r="C307" s="180" t="s">
        <v>255</v>
      </c>
      <c r="D307" s="180"/>
      <c r="E307" s="180"/>
      <c r="F307" s="175">
        <v>-1280.19</v>
      </c>
      <c r="G307" s="107"/>
      <c r="H307" s="7" t="s">
        <v>340</v>
      </c>
      <c r="K307" s="106"/>
      <c r="L307" s="204"/>
      <c r="O307" s="202"/>
    </row>
    <row r="308" spans="2:15" ht="15.6" x14ac:dyDescent="0.3">
      <c r="B308" s="400">
        <v>42912</v>
      </c>
      <c r="C308" s="180" t="s">
        <v>250</v>
      </c>
      <c r="D308" s="180"/>
      <c r="E308" s="180"/>
      <c r="F308" s="175">
        <v>-5300</v>
      </c>
      <c r="G308" s="107"/>
      <c r="H308" s="7" t="s">
        <v>340</v>
      </c>
      <c r="K308" s="204"/>
      <c r="L308" s="204"/>
      <c r="M308" s="204"/>
      <c r="N308" s="204"/>
      <c r="O308" s="202"/>
    </row>
    <row r="309" spans="2:15" ht="15.6" x14ac:dyDescent="0.3">
      <c r="B309" s="400">
        <v>42928</v>
      </c>
      <c r="C309" s="180" t="s">
        <v>261</v>
      </c>
      <c r="D309" s="180"/>
      <c r="E309" s="180"/>
      <c r="F309" s="175">
        <v>-2650</v>
      </c>
      <c r="G309" s="107"/>
      <c r="H309" s="226" t="s">
        <v>351</v>
      </c>
      <c r="I309" s="107" t="s">
        <v>355</v>
      </c>
      <c r="K309" s="106"/>
      <c r="L309" s="204"/>
      <c r="O309" s="202"/>
    </row>
    <row r="310" spans="2:15" ht="15.6" x14ac:dyDescent="0.3">
      <c r="B310" s="400">
        <v>42997</v>
      </c>
      <c r="C310" s="180" t="s">
        <v>270</v>
      </c>
      <c r="D310" s="180"/>
      <c r="E310" s="180"/>
      <c r="F310" s="175">
        <v>-368</v>
      </c>
      <c r="G310" s="107"/>
      <c r="H310" t="s">
        <v>340</v>
      </c>
      <c r="K310" s="204"/>
      <c r="L310" s="204"/>
      <c r="M310" s="204"/>
      <c r="N310" s="204"/>
      <c r="O310" s="202"/>
    </row>
    <row r="311" spans="2:15" ht="15.6" x14ac:dyDescent="0.3">
      <c r="B311" s="400">
        <v>42997</v>
      </c>
      <c r="C311" s="180" t="s">
        <v>269</v>
      </c>
      <c r="D311" s="180"/>
      <c r="E311" s="180"/>
      <c r="F311" s="175">
        <v>-187.5</v>
      </c>
      <c r="G311" s="107"/>
      <c r="H311" t="s">
        <v>340</v>
      </c>
      <c r="K311" s="204"/>
      <c r="L311" s="204"/>
      <c r="O311" s="202"/>
    </row>
    <row r="312" spans="2:15" ht="15.6" x14ac:dyDescent="0.3">
      <c r="B312" s="400">
        <v>43024</v>
      </c>
      <c r="C312" s="180" t="s">
        <v>271</v>
      </c>
      <c r="D312" s="180"/>
      <c r="E312" s="180"/>
      <c r="F312" s="175">
        <v>-163.35</v>
      </c>
      <c r="G312" s="107"/>
      <c r="H312" t="s">
        <v>340</v>
      </c>
      <c r="K312" s="106"/>
      <c r="L312" s="204"/>
      <c r="O312" s="202"/>
    </row>
    <row r="313" spans="2:15" ht="15.6" x14ac:dyDescent="0.3">
      <c r="B313" s="400">
        <v>43024</v>
      </c>
      <c r="C313" s="180" t="s">
        <v>272</v>
      </c>
      <c r="D313" s="180"/>
      <c r="E313" s="180"/>
      <c r="F313" s="175">
        <v>-136</v>
      </c>
      <c r="G313" s="107"/>
      <c r="H313" t="s">
        <v>340</v>
      </c>
      <c r="K313" s="106"/>
      <c r="L313" s="204"/>
      <c r="O313" s="202"/>
    </row>
    <row r="314" spans="2:15" ht="15.6" x14ac:dyDescent="0.3">
      <c r="B314" s="400">
        <v>43024</v>
      </c>
      <c r="C314" s="180" t="s">
        <v>273</v>
      </c>
      <c r="D314" s="180"/>
      <c r="E314" s="180"/>
      <c r="F314" s="175">
        <v>-31.57</v>
      </c>
      <c r="G314" s="107"/>
      <c r="H314" t="s">
        <v>340</v>
      </c>
      <c r="K314" s="106"/>
      <c r="L314" s="204"/>
      <c r="O314" s="202"/>
    </row>
    <row r="315" spans="2:15" ht="15.6" x14ac:dyDescent="0.3">
      <c r="B315" s="400">
        <v>43024</v>
      </c>
      <c r="C315" s="180" t="s">
        <v>276</v>
      </c>
      <c r="D315" s="180"/>
      <c r="E315" s="180"/>
      <c r="F315" s="175">
        <v>-544.5</v>
      </c>
      <c r="G315" s="107"/>
      <c r="H315" t="s">
        <v>340</v>
      </c>
      <c r="K315" s="106"/>
      <c r="L315" s="204"/>
      <c r="O315" s="202"/>
    </row>
    <row r="316" spans="2:15" ht="15.6" x14ac:dyDescent="0.3">
      <c r="B316" s="400">
        <v>43024</v>
      </c>
      <c r="C316" s="180" t="s">
        <v>277</v>
      </c>
      <c r="D316" s="180"/>
      <c r="E316" s="180"/>
      <c r="F316" s="175">
        <v>-70.45</v>
      </c>
      <c r="G316" s="107"/>
      <c r="H316" t="s">
        <v>340</v>
      </c>
      <c r="K316" s="204"/>
      <c r="L316" s="204"/>
      <c r="M316" s="204"/>
      <c r="N316" s="204"/>
      <c r="O316" s="202"/>
    </row>
    <row r="317" spans="2:15" ht="17.399999999999999" x14ac:dyDescent="0.3">
      <c r="B317" s="400">
        <v>43024</v>
      </c>
      <c r="C317" s="180" t="s">
        <v>278</v>
      </c>
      <c r="D317" s="180"/>
      <c r="E317" s="180"/>
      <c r="F317" s="175">
        <v>-149.74</v>
      </c>
      <c r="G317" s="107"/>
      <c r="H317" t="s">
        <v>340</v>
      </c>
      <c r="K317" s="204"/>
      <c r="L317" s="204"/>
      <c r="M317" s="204"/>
      <c r="N317" s="204"/>
      <c r="O317" s="423"/>
    </row>
    <row r="318" spans="2:15" ht="15.6" x14ac:dyDescent="0.3">
      <c r="B318" s="400">
        <v>43024</v>
      </c>
      <c r="C318" s="180" t="s">
        <v>279</v>
      </c>
      <c r="D318" s="180"/>
      <c r="E318" s="180"/>
      <c r="F318" s="175">
        <v>-93.7</v>
      </c>
      <c r="G318" s="107"/>
      <c r="H318" t="s">
        <v>340</v>
      </c>
      <c r="K318" s="64"/>
      <c r="L318" s="64"/>
      <c r="M318" s="64"/>
      <c r="N318" s="534"/>
      <c r="O318" s="64"/>
    </row>
    <row r="319" spans="2:15" ht="15.6" x14ac:dyDescent="0.3">
      <c r="B319" s="400">
        <v>43038</v>
      </c>
      <c r="C319" s="180" t="s">
        <v>280</v>
      </c>
      <c r="D319" s="180"/>
      <c r="E319" s="180"/>
      <c r="F319" s="175">
        <v>-91</v>
      </c>
      <c r="G319" s="107"/>
      <c r="H319" t="s">
        <v>340</v>
      </c>
      <c r="K319" s="202"/>
      <c r="L319" s="202"/>
      <c r="M319" s="202"/>
      <c r="N319" s="202"/>
      <c r="O319" s="202"/>
    </row>
    <row r="320" spans="2:15" ht="15.6" x14ac:dyDescent="0.3">
      <c r="B320" s="400">
        <v>43058</v>
      </c>
      <c r="C320" s="180" t="s">
        <v>251</v>
      </c>
      <c r="D320" s="180"/>
      <c r="E320" s="180"/>
      <c r="F320" s="175">
        <v>-250</v>
      </c>
      <c r="G320" s="107"/>
      <c r="H320" s="168" t="s">
        <v>351</v>
      </c>
      <c r="I320" s="107" t="s">
        <v>355</v>
      </c>
      <c r="K320" s="417"/>
      <c r="L320" s="417"/>
    </row>
    <row r="321" spans="2:15" ht="15.6" x14ac:dyDescent="0.3">
      <c r="B321" s="400">
        <v>43064</v>
      </c>
      <c r="C321" s="180" t="s">
        <v>283</v>
      </c>
      <c r="D321" s="180"/>
      <c r="E321" s="180"/>
      <c r="F321" s="175">
        <v>-57.62</v>
      </c>
      <c r="G321" s="107"/>
      <c r="H321" s="168" t="s">
        <v>351</v>
      </c>
      <c r="I321" s="107" t="s">
        <v>355</v>
      </c>
      <c r="J321" s="95"/>
      <c r="L321" s="203"/>
      <c r="M321" s="203"/>
      <c r="N321" s="535"/>
      <c r="O321" s="202"/>
    </row>
    <row r="322" spans="2:15" ht="15.6" x14ac:dyDescent="0.3">
      <c r="B322" s="400">
        <v>43076</v>
      </c>
      <c r="C322" s="180" t="s">
        <v>284</v>
      </c>
      <c r="D322" s="180"/>
      <c r="E322" s="180"/>
      <c r="F322" s="175">
        <v>-1454.75</v>
      </c>
      <c r="G322" s="107"/>
      <c r="H322" s="168" t="s">
        <v>351</v>
      </c>
      <c r="I322" s="107" t="s">
        <v>355</v>
      </c>
      <c r="L322" s="203"/>
      <c r="M322" s="203"/>
      <c r="N322" s="202"/>
      <c r="O322" s="202"/>
    </row>
    <row r="323" spans="2:15" ht="15.6" x14ac:dyDescent="0.3">
      <c r="B323" s="400">
        <v>43081</v>
      </c>
      <c r="C323" s="180" t="s">
        <v>286</v>
      </c>
      <c r="D323" s="180"/>
      <c r="E323" s="180"/>
      <c r="F323" s="175">
        <v>-2375</v>
      </c>
      <c r="G323" s="107"/>
      <c r="H323" s="168" t="s">
        <v>351</v>
      </c>
      <c r="I323" s="107" t="s">
        <v>355</v>
      </c>
      <c r="L323" s="203"/>
      <c r="M323" s="203"/>
      <c r="N323" s="202"/>
      <c r="O323" s="202"/>
    </row>
    <row r="324" spans="2:15" ht="15.6" x14ac:dyDescent="0.3">
      <c r="B324" s="400">
        <v>43082</v>
      </c>
      <c r="C324" s="180" t="s">
        <v>287</v>
      </c>
      <c r="D324" s="180"/>
      <c r="E324" s="180"/>
      <c r="F324" s="175">
        <v>-134.75</v>
      </c>
      <c r="G324" s="107"/>
      <c r="H324" s="168" t="s">
        <v>351</v>
      </c>
      <c r="I324" s="107" t="s">
        <v>355</v>
      </c>
      <c r="K324" s="204"/>
      <c r="L324" s="204"/>
      <c r="M324" s="204"/>
      <c r="N324" s="204"/>
      <c r="O324" s="202"/>
    </row>
    <row r="325" spans="2:15" ht="15.6" x14ac:dyDescent="0.3">
      <c r="B325" s="400"/>
      <c r="C325" s="180"/>
      <c r="D325" s="180"/>
      <c r="E325" s="180"/>
      <c r="F325" s="175"/>
      <c r="G325" s="7"/>
      <c r="K325" s="204"/>
      <c r="L325" s="204"/>
      <c r="M325" s="204"/>
      <c r="N325" s="204"/>
      <c r="O325" s="202"/>
    </row>
    <row r="326" spans="2:15" ht="15.6" x14ac:dyDescent="0.3">
      <c r="B326" s="359" t="s">
        <v>307</v>
      </c>
      <c r="C326" s="211"/>
      <c r="D326" s="211"/>
      <c r="E326" s="211"/>
      <c r="F326" s="210">
        <f>SUM(F302:F324)</f>
        <v>-18605.950000000004</v>
      </c>
      <c r="G326" s="7"/>
      <c r="J326" s="95"/>
      <c r="K326" s="204"/>
      <c r="L326" s="204"/>
      <c r="M326" s="204"/>
      <c r="N326" s="204"/>
      <c r="O326" s="202"/>
    </row>
    <row r="327" spans="2:15" ht="15.6" x14ac:dyDescent="0.3">
      <c r="B327" s="400"/>
      <c r="C327" s="180"/>
      <c r="D327" s="180"/>
      <c r="E327" s="180"/>
      <c r="F327" s="175"/>
      <c r="G327" s="7"/>
      <c r="J327" s="95"/>
      <c r="K327" s="204"/>
      <c r="L327" s="204"/>
      <c r="M327" s="204"/>
      <c r="N327" s="204"/>
      <c r="O327" s="202"/>
    </row>
    <row r="328" spans="2:15" ht="15.6" x14ac:dyDescent="0.3">
      <c r="B328" s="105">
        <v>43100</v>
      </c>
      <c r="C328" s="227" t="s">
        <v>2</v>
      </c>
      <c r="D328" s="227"/>
      <c r="E328" s="227"/>
      <c r="F328" s="152">
        <f>F300+F326</f>
        <v>1376.3299999999945</v>
      </c>
      <c r="G328" s="173"/>
      <c r="J328" s="95"/>
      <c r="K328" s="204"/>
      <c r="L328" s="204"/>
      <c r="M328" s="204"/>
      <c r="N328" s="204"/>
      <c r="O328" s="202"/>
    </row>
    <row r="329" spans="2:15" ht="15.6" x14ac:dyDescent="0.3">
      <c r="B329" s="377"/>
      <c r="C329" s="415" t="s">
        <v>362</v>
      </c>
      <c r="D329" s="415"/>
      <c r="E329" s="415"/>
      <c r="F329" s="172"/>
      <c r="G329" s="173"/>
      <c r="J329" s="95"/>
      <c r="K329" s="204"/>
      <c r="L329" s="204"/>
      <c r="M329" s="204"/>
      <c r="N329" s="204"/>
      <c r="O329" s="202"/>
    </row>
    <row r="330" spans="2:15" ht="15.6" x14ac:dyDescent="0.3">
      <c r="B330" s="377">
        <v>43109</v>
      </c>
      <c r="C330" s="415" t="s">
        <v>367</v>
      </c>
      <c r="D330" s="415"/>
      <c r="E330" s="415"/>
      <c r="F330" s="172">
        <v>-945.01</v>
      </c>
      <c r="G330" s="173"/>
      <c r="H330" s="7" t="s">
        <v>379</v>
      </c>
      <c r="K330" s="204"/>
      <c r="L330" s="204"/>
      <c r="M330" s="204"/>
      <c r="N330" s="204"/>
      <c r="O330" s="202"/>
    </row>
    <row r="331" spans="2:15" ht="15.6" x14ac:dyDescent="0.3">
      <c r="B331" s="377">
        <v>43122</v>
      </c>
      <c r="C331" s="415" t="s">
        <v>371</v>
      </c>
      <c r="D331" s="415"/>
      <c r="E331" s="415"/>
      <c r="F331" s="172">
        <v>-199.65</v>
      </c>
      <c r="G331" s="173"/>
      <c r="H331" s="7" t="s">
        <v>377</v>
      </c>
      <c r="K331" s="204"/>
      <c r="L331" s="204"/>
      <c r="M331" s="204"/>
      <c r="N331" s="204"/>
      <c r="O331" s="202"/>
    </row>
    <row r="332" spans="2:15" ht="15.6" x14ac:dyDescent="0.3">
      <c r="B332" s="377">
        <v>43166</v>
      </c>
      <c r="C332" s="415" t="s">
        <v>368</v>
      </c>
      <c r="D332" s="415"/>
      <c r="E332" s="415"/>
      <c r="F332" s="172">
        <v>-1564.6</v>
      </c>
      <c r="G332" s="173"/>
      <c r="H332" s="7" t="s">
        <v>378</v>
      </c>
      <c r="K332" s="204"/>
      <c r="L332" s="204"/>
      <c r="M332" s="204"/>
      <c r="N332" s="204"/>
      <c r="O332" s="202"/>
    </row>
    <row r="333" spans="2:15" ht="15.6" x14ac:dyDescent="0.3">
      <c r="B333" s="377">
        <v>43234</v>
      </c>
      <c r="C333" s="415" t="s">
        <v>382</v>
      </c>
      <c r="D333" s="415"/>
      <c r="E333" s="415"/>
      <c r="F333" s="172">
        <v>-504.56</v>
      </c>
      <c r="G333" s="173"/>
      <c r="H333" s="7" t="s">
        <v>378</v>
      </c>
      <c r="K333" s="204"/>
      <c r="L333" s="204"/>
      <c r="M333" s="204"/>
      <c r="N333" s="204"/>
      <c r="O333" s="202"/>
    </row>
    <row r="334" spans="2:15" ht="15.6" x14ac:dyDescent="0.3">
      <c r="B334" s="377">
        <v>43286</v>
      </c>
      <c r="C334" s="415" t="s">
        <v>387</v>
      </c>
      <c r="D334" s="415"/>
      <c r="E334" s="415"/>
      <c r="F334" s="172">
        <v>-693.87</v>
      </c>
      <c r="G334" s="173"/>
      <c r="H334" s="7" t="s">
        <v>404</v>
      </c>
      <c r="K334" s="204"/>
      <c r="L334" s="204"/>
      <c r="M334" s="204"/>
      <c r="N334" s="204"/>
      <c r="O334" s="202"/>
    </row>
    <row r="335" spans="2:15" ht="15.6" x14ac:dyDescent="0.3">
      <c r="B335" s="377">
        <v>43382</v>
      </c>
      <c r="C335" s="415" t="s">
        <v>398</v>
      </c>
      <c r="D335" s="415"/>
      <c r="E335" s="415"/>
      <c r="F335" s="172">
        <v>-250</v>
      </c>
      <c r="G335" s="173"/>
      <c r="H335" s="7" t="s">
        <v>377</v>
      </c>
      <c r="K335" s="204"/>
      <c r="L335" s="204"/>
      <c r="M335" s="204"/>
      <c r="N335" s="204"/>
      <c r="O335" s="202"/>
    </row>
    <row r="336" spans="2:15" ht="15.6" x14ac:dyDescent="0.3">
      <c r="B336" s="377">
        <v>43443</v>
      </c>
      <c r="C336" s="415" t="s">
        <v>405</v>
      </c>
      <c r="D336" s="415"/>
      <c r="E336" s="415"/>
      <c r="F336" s="172">
        <f>-5799.99</f>
        <v>-5799.99</v>
      </c>
      <c r="G336" s="173"/>
      <c r="K336" s="204"/>
      <c r="L336" s="204"/>
      <c r="M336" s="204"/>
      <c r="N336" s="204"/>
      <c r="O336" s="202"/>
    </row>
    <row r="337" spans="1:15" ht="15.6" x14ac:dyDescent="0.3">
      <c r="B337" s="377">
        <v>43447</v>
      </c>
      <c r="C337" s="415" t="s">
        <v>406</v>
      </c>
      <c r="D337" s="415"/>
      <c r="E337" s="415"/>
      <c r="F337" s="172">
        <v>-3000</v>
      </c>
      <c r="G337" s="173"/>
      <c r="H337" s="7" t="s">
        <v>407</v>
      </c>
      <c r="K337" s="204"/>
      <c r="L337" s="204"/>
      <c r="M337" s="204"/>
      <c r="N337" s="204"/>
      <c r="O337" s="202"/>
    </row>
    <row r="338" spans="1:15" ht="15.6" x14ac:dyDescent="0.3">
      <c r="B338" s="377"/>
      <c r="C338" s="415"/>
      <c r="D338" s="415"/>
      <c r="E338" s="415"/>
      <c r="F338" s="172"/>
      <c r="G338" s="173"/>
      <c r="K338" s="204"/>
      <c r="L338" s="204"/>
      <c r="M338" s="204"/>
      <c r="N338" s="204"/>
      <c r="O338" s="202"/>
    </row>
    <row r="339" spans="1:15" ht="16.2" thickBot="1" x14ac:dyDescent="0.35">
      <c r="B339" s="377"/>
      <c r="C339" s="415" t="s">
        <v>364</v>
      </c>
      <c r="D339" s="415"/>
      <c r="E339" s="415"/>
      <c r="F339" s="172">
        <f>SUM(F329:F338)</f>
        <v>-12957.68</v>
      </c>
      <c r="G339" s="173"/>
      <c r="J339" s="7" t="s">
        <v>384</v>
      </c>
      <c r="K339" s="204"/>
      <c r="L339" s="204"/>
      <c r="M339" s="204"/>
      <c r="N339" s="204"/>
      <c r="O339" s="202"/>
    </row>
    <row r="340" spans="1:15" ht="15.6" x14ac:dyDescent="0.3">
      <c r="B340" s="529"/>
      <c r="C340" s="530" t="s">
        <v>363</v>
      </c>
      <c r="D340" s="530"/>
      <c r="E340" s="530"/>
      <c r="F340" s="531"/>
      <c r="G340" s="173"/>
      <c r="J340" s="116">
        <f>F345+F299+F286</f>
        <v>27933.050000000003</v>
      </c>
      <c r="K340" s="204" t="s">
        <v>385</v>
      </c>
      <c r="L340" s="204"/>
      <c r="M340" s="204"/>
      <c r="N340" s="204"/>
      <c r="O340" s="202"/>
    </row>
    <row r="341" spans="1:15" ht="15.6" x14ac:dyDescent="0.3">
      <c r="B341" s="377">
        <v>42759</v>
      </c>
      <c r="C341" s="415" t="s">
        <v>370</v>
      </c>
      <c r="D341" s="415"/>
      <c r="E341" s="415"/>
      <c r="F341" s="172">
        <v>7120</v>
      </c>
      <c r="G341" s="173"/>
      <c r="H341" s="7" t="s">
        <v>376</v>
      </c>
      <c r="J341" s="116">
        <f>F339+F326</f>
        <v>-31563.630000000005</v>
      </c>
      <c r="K341" s="204" t="s">
        <v>386</v>
      </c>
      <c r="L341" s="204"/>
      <c r="M341" s="204"/>
      <c r="N341" s="204"/>
      <c r="O341" s="202"/>
    </row>
    <row r="342" spans="1:15" ht="15.6" x14ac:dyDescent="0.3">
      <c r="B342" s="377">
        <f>B19</f>
        <v>43442</v>
      </c>
      <c r="C342" s="377" t="str">
        <f>C19</f>
        <v>overheveling saldo 25 jarig bstaan/tuin</v>
      </c>
      <c r="D342" s="377"/>
      <c r="E342" s="377"/>
      <c r="F342" s="538">
        <f>-F19</f>
        <v>232.6</v>
      </c>
      <c r="G342" s="173"/>
      <c r="H342" s="7" t="s">
        <v>376</v>
      </c>
      <c r="J342" s="116"/>
      <c r="K342" s="204"/>
      <c r="L342" s="204"/>
      <c r="M342" s="204"/>
      <c r="N342" s="204"/>
      <c r="O342" s="202"/>
    </row>
    <row r="343" spans="1:15" ht="15.6" x14ac:dyDescent="0.3">
      <c r="B343" s="377">
        <f>B38</f>
        <v>43442</v>
      </c>
      <c r="C343" s="415" t="str">
        <f>C38</f>
        <v>overheveling saldo 25 jarig best. Tuin</v>
      </c>
      <c r="D343" s="415"/>
      <c r="E343" s="415"/>
      <c r="F343" s="172">
        <f>-F38</f>
        <v>598.16999999999996</v>
      </c>
      <c r="G343" s="173"/>
      <c r="H343" s="7" t="s">
        <v>376</v>
      </c>
      <c r="J343" s="116"/>
      <c r="K343" s="204"/>
      <c r="L343" s="204"/>
      <c r="M343" s="204"/>
      <c r="N343" s="204"/>
      <c r="O343" s="202"/>
    </row>
    <row r="344" spans="1:15" ht="15.6" x14ac:dyDescent="0.3">
      <c r="B344" s="377"/>
      <c r="C344" s="415"/>
      <c r="D344" s="415"/>
      <c r="E344" s="415"/>
      <c r="F344" s="172"/>
      <c r="G344" s="173"/>
      <c r="J344" s="116">
        <f>J340+J341</f>
        <v>-3630.5800000000017</v>
      </c>
      <c r="K344" s="204" t="s">
        <v>84</v>
      </c>
      <c r="L344" s="204"/>
      <c r="M344" s="204"/>
      <c r="N344" s="204"/>
      <c r="O344" s="204"/>
    </row>
    <row r="345" spans="1:15" ht="16.2" thickBot="1" x14ac:dyDescent="0.35">
      <c r="B345" s="532"/>
      <c r="C345" s="533" t="s">
        <v>365</v>
      </c>
      <c r="D345" s="533"/>
      <c r="E345" s="533"/>
      <c r="F345" s="72">
        <f>SUM(F340:F344)</f>
        <v>7950.77</v>
      </c>
      <c r="G345" s="173"/>
      <c r="K345" s="204"/>
      <c r="L345" s="204"/>
      <c r="M345" s="204"/>
      <c r="N345" s="204"/>
      <c r="O345" s="202"/>
    </row>
    <row r="346" spans="1:15" ht="16.2" thickBot="1" x14ac:dyDescent="0.35">
      <c r="B346" s="511">
        <f>B2</f>
        <v>43830</v>
      </c>
      <c r="C346" s="512" t="s">
        <v>2</v>
      </c>
      <c r="D346" s="512"/>
      <c r="E346" s="512"/>
      <c r="F346" s="513">
        <f>F328+F339+F345</f>
        <v>-3630.5800000000054</v>
      </c>
      <c r="G346" s="173"/>
      <c r="H346" s="116"/>
      <c r="K346" s="204"/>
      <c r="L346" s="204"/>
      <c r="M346" s="204"/>
      <c r="N346" s="204"/>
      <c r="O346" s="202"/>
    </row>
    <row r="347" spans="1:15" ht="15.6" x14ac:dyDescent="0.3">
      <c r="B347" s="508"/>
      <c r="C347" s="508"/>
      <c r="D347" s="508"/>
      <c r="E347" s="508"/>
      <c r="F347" s="584"/>
      <c r="G347" s="173"/>
      <c r="H347" s="116"/>
      <c r="K347" s="204"/>
      <c r="L347" s="204"/>
      <c r="M347" s="204"/>
      <c r="N347" s="204"/>
      <c r="O347" s="202"/>
    </row>
    <row r="348" spans="1:15" ht="15.6" x14ac:dyDescent="0.3">
      <c r="B348" s="508"/>
      <c r="C348" s="508"/>
      <c r="D348" s="508"/>
      <c r="E348" s="508"/>
      <c r="F348" s="584"/>
      <c r="G348" s="173"/>
      <c r="H348" s="116"/>
      <c r="K348" s="204"/>
      <c r="L348" s="204"/>
      <c r="M348" s="204"/>
      <c r="N348" s="204"/>
      <c r="O348" s="202"/>
    </row>
    <row r="349" spans="1:15" ht="15.6" x14ac:dyDescent="0.3">
      <c r="K349" s="204"/>
      <c r="L349" s="204"/>
      <c r="M349" s="204"/>
      <c r="N349" s="204"/>
      <c r="O349" s="202"/>
    </row>
    <row r="350" spans="1:15" ht="16.2" thickBot="1" x14ac:dyDescent="0.35">
      <c r="B350" s="13"/>
      <c r="C350" s="203"/>
      <c r="D350" s="203"/>
      <c r="E350" s="202"/>
      <c r="F350" s="202"/>
      <c r="K350" s="204"/>
      <c r="L350" s="204"/>
      <c r="M350" s="204"/>
      <c r="N350" s="204"/>
      <c r="O350" s="202"/>
    </row>
    <row r="351" spans="1:15" ht="15.6" x14ac:dyDescent="0.3">
      <c r="A351" s="95"/>
      <c r="B351" s="223" t="s">
        <v>226</v>
      </c>
      <c r="C351" s="182"/>
      <c r="D351" s="182"/>
      <c r="E351" s="397" t="s">
        <v>141</v>
      </c>
      <c r="F351" s="394"/>
      <c r="K351" s="204"/>
      <c r="L351" s="204"/>
      <c r="M351" s="204"/>
      <c r="N351" s="204"/>
      <c r="O351" s="202"/>
    </row>
    <row r="352" spans="1:15" ht="21" x14ac:dyDescent="0.4">
      <c r="B352" s="23"/>
      <c r="F352" s="51"/>
      <c r="K352" s="536"/>
      <c r="L352" s="536"/>
      <c r="M352" s="536"/>
      <c r="N352" s="536"/>
      <c r="O352" s="537"/>
    </row>
    <row r="353" spans="2:10" ht="15.6" x14ac:dyDescent="0.3">
      <c r="B353" s="421">
        <v>42760</v>
      </c>
      <c r="C353" s="399" t="s">
        <v>222</v>
      </c>
      <c r="D353" s="399"/>
      <c r="E353" s="399"/>
      <c r="F353" s="175">
        <v>2000</v>
      </c>
      <c r="G353" s="95"/>
      <c r="H353" t="s">
        <v>330</v>
      </c>
    </row>
    <row r="354" spans="2:10" x14ac:dyDescent="0.25">
      <c r="B354" s="23"/>
      <c r="F354" s="51"/>
    </row>
    <row r="355" spans="2:10" x14ac:dyDescent="0.25">
      <c r="B355" s="413">
        <v>42768</v>
      </c>
      <c r="C355" s="399" t="s">
        <v>227</v>
      </c>
      <c r="D355" s="399"/>
      <c r="E355" s="399"/>
      <c r="F355" s="412">
        <f>-500</f>
        <v>-500</v>
      </c>
      <c r="G355" s="95"/>
      <c r="H355" t="s">
        <v>333</v>
      </c>
      <c r="I355" s="95" t="s">
        <v>79</v>
      </c>
      <c r="J355" t="s">
        <v>349</v>
      </c>
    </row>
    <row r="356" spans="2:10" x14ac:dyDescent="0.25">
      <c r="B356" s="413">
        <v>42770</v>
      </c>
      <c r="C356" s="399" t="s">
        <v>228</v>
      </c>
      <c r="D356" s="399"/>
      <c r="E356" s="399"/>
      <c r="F356" s="412">
        <f>-574</f>
        <v>-574</v>
      </c>
      <c r="G356" s="95"/>
      <c r="H356" t="s">
        <v>330</v>
      </c>
      <c r="I356" s="95">
        <v>1074</v>
      </c>
    </row>
    <row r="357" spans="2:10" x14ac:dyDescent="0.25">
      <c r="B357" s="405"/>
      <c r="F357" s="51"/>
    </row>
    <row r="358" spans="2:10" x14ac:dyDescent="0.25">
      <c r="B358" s="232" t="s">
        <v>307</v>
      </c>
      <c r="C358" s="171"/>
      <c r="D358" s="171"/>
      <c r="E358" s="171"/>
      <c r="F358" s="414">
        <f>SUM(F355:F357)</f>
        <v>-1074</v>
      </c>
    </row>
    <row r="359" spans="2:10" x14ac:dyDescent="0.25">
      <c r="B359" s="192"/>
      <c r="F359" s="51"/>
    </row>
    <row r="360" spans="2:10" ht="15.6" x14ac:dyDescent="0.3">
      <c r="B360" s="105">
        <f>B328</f>
        <v>43100</v>
      </c>
      <c r="C360" s="227" t="s">
        <v>2</v>
      </c>
      <c r="D360" s="114"/>
      <c r="E360" s="115"/>
      <c r="F360" s="152">
        <f>F353+F358</f>
        <v>926</v>
      </c>
      <c r="G360" s="504"/>
    </row>
    <row r="361" spans="2:10" ht="15.6" x14ac:dyDescent="0.3">
      <c r="B361" s="377"/>
      <c r="C361" s="415" t="s">
        <v>362</v>
      </c>
      <c r="D361" s="415"/>
      <c r="E361" s="415"/>
      <c r="F361" s="172"/>
      <c r="G361" s="504"/>
    </row>
    <row r="362" spans="2:10" ht="15.6" x14ac:dyDescent="0.3">
      <c r="B362" s="377"/>
      <c r="C362" s="415"/>
      <c r="D362" s="415"/>
      <c r="E362" s="415"/>
      <c r="F362" s="172"/>
      <c r="G362" s="504"/>
    </row>
    <row r="363" spans="2:10" ht="15.6" x14ac:dyDescent="0.3">
      <c r="B363" s="377"/>
      <c r="C363" s="415"/>
      <c r="D363" s="415"/>
      <c r="E363" s="415"/>
      <c r="F363" s="172"/>
      <c r="G363" s="504"/>
    </row>
    <row r="364" spans="2:10" ht="15.6" x14ac:dyDescent="0.3">
      <c r="B364" s="377"/>
      <c r="C364" s="415" t="s">
        <v>364</v>
      </c>
      <c r="D364" s="415"/>
      <c r="E364" s="415"/>
      <c r="F364" s="172">
        <f>SUM(F361:F363)</f>
        <v>0</v>
      </c>
      <c r="G364" s="504"/>
    </row>
    <row r="365" spans="2:10" ht="15.6" x14ac:dyDescent="0.3">
      <c r="B365" s="377"/>
      <c r="C365" s="415" t="s">
        <v>363</v>
      </c>
      <c r="D365" s="415"/>
      <c r="E365" s="415"/>
      <c r="F365" s="172"/>
      <c r="G365" s="504"/>
    </row>
    <row r="366" spans="2:10" ht="15.6" x14ac:dyDescent="0.3">
      <c r="B366" s="377"/>
      <c r="C366" s="415"/>
      <c r="D366" s="415"/>
      <c r="E366" s="415"/>
      <c r="F366" s="172"/>
      <c r="G366" s="504"/>
    </row>
    <row r="367" spans="2:10" ht="15.6" x14ac:dyDescent="0.3">
      <c r="B367" s="377"/>
      <c r="C367" s="415"/>
      <c r="D367" s="415"/>
      <c r="E367" s="415"/>
      <c r="F367" s="172"/>
      <c r="G367" s="504"/>
    </row>
    <row r="368" spans="2:10" ht="16.2" thickBot="1" x14ac:dyDescent="0.35">
      <c r="B368" s="377"/>
      <c r="C368" s="415" t="s">
        <v>365</v>
      </c>
      <c r="D368" s="415"/>
      <c r="E368" s="415"/>
      <c r="F368" s="172">
        <f>SUM(F365:F367)</f>
        <v>0</v>
      </c>
      <c r="G368" s="504"/>
    </row>
    <row r="369" spans="2:7" ht="16.2" thickBot="1" x14ac:dyDescent="0.35">
      <c r="B369" s="511">
        <f>B2</f>
        <v>43830</v>
      </c>
      <c r="C369" s="512" t="s">
        <v>2</v>
      </c>
      <c r="D369" s="512"/>
      <c r="E369" s="512"/>
      <c r="F369" s="513">
        <f>F360+F364+F368</f>
        <v>926</v>
      </c>
      <c r="G369" s="504"/>
    </row>
    <row r="371" spans="2:7" ht="13.8" thickBot="1" x14ac:dyDescent="0.3"/>
    <row r="372" spans="2:7" ht="16.2" thickBot="1" x14ac:dyDescent="0.35">
      <c r="B372" s="223" t="s">
        <v>140</v>
      </c>
      <c r="C372" s="182"/>
      <c r="D372" s="182"/>
      <c r="E372" s="397" t="s">
        <v>243</v>
      </c>
      <c r="F372" s="394"/>
    </row>
    <row r="373" spans="2:7" ht="16.2" thickBot="1" x14ac:dyDescent="0.35">
      <c r="B373" s="515">
        <v>43465</v>
      </c>
      <c r="C373" s="64"/>
      <c r="D373" s="64"/>
      <c r="E373" s="201"/>
      <c r="F373" s="513">
        <f>'jaarrek 2017 begr 2018 '!H8</f>
        <v>704.3300000000072</v>
      </c>
    </row>
    <row r="374" spans="2:7" ht="15.6" x14ac:dyDescent="0.3">
      <c r="B374" s="19"/>
      <c r="C374" s="64"/>
      <c r="D374" s="64"/>
      <c r="E374" s="201"/>
      <c r="F374" s="358"/>
    </row>
    <row r="375" spans="2:7" ht="15.6" x14ac:dyDescent="0.3">
      <c r="B375" s="359">
        <f>B2</f>
        <v>43830</v>
      </c>
      <c r="C375" s="211" t="str">
        <f>C286</f>
        <v>Saldo</v>
      </c>
      <c r="D375" s="228"/>
      <c r="E375" s="217"/>
      <c r="F375" s="210">
        <f>'31 dec 2019'!G29</f>
        <v>704.33000000000902</v>
      </c>
    </row>
    <row r="376" spans="2:7" ht="16.2" thickBot="1" x14ac:dyDescent="0.35">
      <c r="B376" s="213"/>
      <c r="C376" s="214"/>
      <c r="D376" s="215"/>
      <c r="E376" s="215"/>
      <c r="F376" s="216"/>
    </row>
  </sheetData>
  <pageMargins left="0.7" right="0.7" top="0.75" bottom="0.75" header="0.3" footer="0.3"/>
  <pageSetup paperSize="9" scale="42" fitToHeight="2" orientation="portrait" horizontalDpi="360" verticalDpi="36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U53"/>
  <sheetViews>
    <sheetView topLeftCell="E1" workbookViewId="0">
      <selection activeCell="O1" sqref="O1"/>
    </sheetView>
  </sheetViews>
  <sheetFormatPr defaultRowHeight="13.2" x14ac:dyDescent="0.25"/>
  <cols>
    <col min="1" max="1" width="33.44140625" customWidth="1"/>
    <col min="2" max="2" width="6.33203125" customWidth="1"/>
    <col min="3" max="3" width="18.88671875" customWidth="1"/>
    <col min="4" max="4" width="19.88671875" customWidth="1"/>
    <col min="5" max="5" width="1.33203125" customWidth="1"/>
    <col min="6" max="6" width="35" customWidth="1"/>
    <col min="7" max="7" width="3.6640625" customWidth="1"/>
    <col min="8" max="8" width="17.5546875" customWidth="1"/>
    <col min="9" max="9" width="15.109375" customWidth="1"/>
    <col min="10" max="10" width="14.44140625" customWidth="1"/>
    <col min="11" max="11" width="3" customWidth="1"/>
    <col min="12" max="12" width="47.44140625" customWidth="1"/>
    <col min="13" max="13" width="27.109375" customWidth="1"/>
    <col min="14" max="14" width="14.88671875" customWidth="1"/>
    <col min="15" max="15" width="1.6640625" customWidth="1"/>
    <col min="16" max="16" width="35" customWidth="1"/>
    <col min="17" max="17" width="6.109375" customWidth="1"/>
    <col min="18" max="18" width="13.6640625" style="434" customWidth="1"/>
    <col min="19" max="19" width="14.5546875" customWidth="1"/>
    <col min="20" max="20" width="14" customWidth="1"/>
  </cols>
  <sheetData>
    <row r="1" spans="1:21" ht="18" thickBot="1" x14ac:dyDescent="0.35">
      <c r="A1" s="257" t="s">
        <v>168</v>
      </c>
      <c r="B1" s="258"/>
      <c r="C1" s="258"/>
      <c r="D1" s="258"/>
      <c r="E1" s="259"/>
      <c r="F1" s="260"/>
      <c r="G1" s="260"/>
      <c r="H1" s="260"/>
      <c r="I1" s="260"/>
      <c r="Q1" s="348"/>
    </row>
    <row r="2" spans="1:21" ht="21.6" thickBot="1" x14ac:dyDescent="0.45">
      <c r="A2" s="404" t="s">
        <v>289</v>
      </c>
      <c r="B2" s="262"/>
      <c r="C2" s="262"/>
      <c r="D2" s="82" t="s">
        <v>350</v>
      </c>
      <c r="E2" s="263"/>
      <c r="F2" s="264"/>
      <c r="G2" s="264"/>
      <c r="H2" s="264"/>
      <c r="I2" s="264"/>
      <c r="L2" s="404" t="s">
        <v>291</v>
      </c>
      <c r="M2" s="430"/>
      <c r="N2" s="267"/>
      <c r="O2" s="267"/>
      <c r="P2" s="267"/>
      <c r="Q2" s="349"/>
      <c r="R2" s="435"/>
      <c r="S2" s="268"/>
    </row>
    <row r="3" spans="1:21" ht="15.6" x14ac:dyDescent="0.3">
      <c r="A3" s="269"/>
      <c r="B3" s="270"/>
      <c r="C3" s="270"/>
      <c r="D3" s="270"/>
      <c r="E3" s="271"/>
      <c r="F3" s="272"/>
      <c r="G3" s="272"/>
      <c r="H3" s="272"/>
      <c r="I3" s="453"/>
      <c r="L3" s="273"/>
      <c r="M3" s="274"/>
      <c r="N3" s="275"/>
      <c r="O3" s="275"/>
      <c r="P3" s="276"/>
      <c r="Q3" s="350"/>
      <c r="R3" s="436"/>
      <c r="S3" s="277"/>
      <c r="T3" s="8" t="s">
        <v>170</v>
      </c>
    </row>
    <row r="4" spans="1:21" ht="15.6" x14ac:dyDescent="0.3">
      <c r="A4" s="838" t="s">
        <v>290</v>
      </c>
      <c r="B4" s="839"/>
      <c r="C4" s="839"/>
      <c r="D4" s="839"/>
      <c r="E4" s="839"/>
      <c r="F4" s="839"/>
      <c r="G4" s="839"/>
      <c r="H4" s="839"/>
      <c r="I4" s="840"/>
      <c r="L4" s="278"/>
      <c r="M4" s="276"/>
      <c r="N4" s="277"/>
      <c r="O4" s="277"/>
      <c r="P4" s="276"/>
      <c r="Q4" s="350"/>
      <c r="R4" s="436"/>
      <c r="S4" s="277"/>
      <c r="T4" s="8" t="s">
        <v>172</v>
      </c>
    </row>
    <row r="5" spans="1:21" ht="15.6" x14ac:dyDescent="0.3">
      <c r="A5" s="279" t="s">
        <v>173</v>
      </c>
      <c r="B5" s="6"/>
      <c r="C5" s="6"/>
      <c r="D5" s="6"/>
      <c r="E5" s="4"/>
      <c r="F5" s="219" t="s">
        <v>174</v>
      </c>
      <c r="G5" s="219"/>
      <c r="H5" s="219"/>
      <c r="I5" s="454"/>
      <c r="L5" s="281" t="s">
        <v>175</v>
      </c>
      <c r="M5" s="351">
        <v>2018</v>
      </c>
      <c r="N5" s="464">
        <v>2017</v>
      </c>
      <c r="O5" s="283"/>
      <c r="P5" s="282" t="s">
        <v>176</v>
      </c>
      <c r="Q5" s="351"/>
      <c r="R5" s="351">
        <v>2018</v>
      </c>
      <c r="S5" s="351">
        <v>2017</v>
      </c>
      <c r="T5" s="8" t="s">
        <v>177</v>
      </c>
    </row>
    <row r="6" spans="1:21" ht="15" x14ac:dyDescent="0.25">
      <c r="A6" s="192"/>
      <c r="B6" s="7"/>
      <c r="C6" s="284">
        <v>43100</v>
      </c>
      <c r="D6" s="284">
        <v>42735</v>
      </c>
      <c r="E6" s="4"/>
      <c r="F6" s="285"/>
      <c r="G6" s="285"/>
      <c r="H6" s="220">
        <v>43100</v>
      </c>
      <c r="I6" s="286">
        <v>42735</v>
      </c>
      <c r="L6" s="278"/>
      <c r="M6" s="276"/>
      <c r="N6" s="465"/>
      <c r="O6" s="277"/>
      <c r="P6" s="276"/>
      <c r="Q6" s="350"/>
      <c r="R6" s="436"/>
      <c r="S6" s="277"/>
    </row>
    <row r="7" spans="1:21" ht="15" x14ac:dyDescent="0.25">
      <c r="A7" s="192"/>
      <c r="B7" s="7"/>
      <c r="C7" s="7"/>
      <c r="D7" s="7"/>
      <c r="E7" s="4"/>
      <c r="F7" s="285"/>
      <c r="G7" s="285"/>
      <c r="H7" s="285"/>
      <c r="I7" s="455"/>
      <c r="L7" s="288" t="s">
        <v>70</v>
      </c>
      <c r="M7" s="433">
        <f>C8</f>
        <v>232.52</v>
      </c>
      <c r="N7" s="289">
        <f>D8</f>
        <v>389.69</v>
      </c>
      <c r="O7" s="290"/>
      <c r="P7" s="291" t="str">
        <f>'fin overz 31 dec 2016'!E16</f>
        <v>*Tuinwerkgroep</v>
      </c>
      <c r="Q7" s="352" t="str">
        <f>'project 2018'!E6</f>
        <v>nr.1</v>
      </c>
      <c r="R7" s="437">
        <f>'project 2018'!F17</f>
        <v>232.51999999999992</v>
      </c>
      <c r="S7" s="289">
        <f>'fin overz 31 dec 2016'!H16</f>
        <v>389.68999999999994</v>
      </c>
    </row>
    <row r="8" spans="1:21" ht="15" x14ac:dyDescent="0.25">
      <c r="A8" s="192" t="s">
        <v>213</v>
      </c>
      <c r="B8" s="7"/>
      <c r="C8" s="193">
        <v>232.52</v>
      </c>
      <c r="D8" s="193">
        <f>'fin overz 31 dec 2016'!C16</f>
        <v>389.69</v>
      </c>
      <c r="E8" s="4"/>
      <c r="F8" s="343" t="s">
        <v>204</v>
      </c>
      <c r="G8" s="343"/>
      <c r="H8" s="343">
        <f>-SUM(H10:H21)+H23</f>
        <v>704.3300000000072</v>
      </c>
      <c r="I8" s="456">
        <f>-SUM(I10:I20)+I23</f>
        <v>704.31000000000495</v>
      </c>
      <c r="L8" s="288" t="s">
        <v>215</v>
      </c>
      <c r="M8" s="433">
        <f>C9</f>
        <v>5318.25</v>
      </c>
      <c r="N8" s="289">
        <f>D9</f>
        <v>14080.15</v>
      </c>
      <c r="O8" s="290"/>
      <c r="P8" s="291" t="str">
        <f>'fin overz 31 dec 2016'!E17</f>
        <v xml:space="preserve">*Te besteden voor tuin </v>
      </c>
      <c r="Q8" s="352" t="str">
        <f>'project 2018'!E30</f>
        <v>nr. 2</v>
      </c>
      <c r="R8" s="437">
        <f>'project 2018'!F36</f>
        <v>598.16999999999985</v>
      </c>
      <c r="S8" s="289">
        <f>'fin overz 31 dec 2016'!H17</f>
        <v>598.16999999999985</v>
      </c>
    </row>
    <row r="9" spans="1:21" ht="15" x14ac:dyDescent="0.25">
      <c r="A9" s="192" t="s">
        <v>293</v>
      </c>
      <c r="B9" s="7"/>
      <c r="C9" s="193">
        <v>5318.25</v>
      </c>
      <c r="D9" s="193">
        <f>'fin overz 31 dec 2016'!C17</f>
        <v>14080.15</v>
      </c>
      <c r="E9" s="4"/>
      <c r="F9" s="221"/>
      <c r="G9" s="221"/>
      <c r="H9" s="221"/>
      <c r="I9" s="292"/>
      <c r="L9" s="288" t="s">
        <v>73</v>
      </c>
      <c r="M9" s="433">
        <f>C12</f>
        <v>7537.84</v>
      </c>
      <c r="N9" s="289">
        <f>D12</f>
        <v>7708.3099999999995</v>
      </c>
      <c r="O9" s="290"/>
      <c r="P9" s="291" t="str">
        <f>'fin overz 31 dec 2016'!E18</f>
        <v>*Te besteden voor algemene publieksact.</v>
      </c>
      <c r="Q9" s="352" t="str">
        <f>'project 2018'!E49</f>
        <v>nr.3</v>
      </c>
      <c r="R9" s="437">
        <f>'project 2018'!F56</f>
        <v>2.2282176104226892E-13</v>
      </c>
      <c r="S9" s="289">
        <f>'fin overz 31 dec 2016'!H18</f>
        <v>0.63000000000022283</v>
      </c>
    </row>
    <row r="10" spans="1:21" ht="15" x14ac:dyDescent="0.25">
      <c r="A10" s="23"/>
      <c r="E10" s="4"/>
      <c r="F10" s="221" t="str">
        <f>'31 dec 2019'!E16</f>
        <v>*Tuinwerkgroep</v>
      </c>
      <c r="G10" s="431">
        <f>'31 dec 2019'!F16</f>
        <v>1</v>
      </c>
      <c r="H10" s="116">
        <f>'project 2018'!F17</f>
        <v>232.51999999999992</v>
      </c>
      <c r="I10" s="292">
        <f>'fin overz 31 dec 2016'!H16</f>
        <v>389.68999999999994</v>
      </c>
      <c r="J10" s="116">
        <v>232.51999999999992</v>
      </c>
      <c r="K10" s="116"/>
      <c r="L10" s="288" t="s">
        <v>216</v>
      </c>
      <c r="M10" s="403"/>
      <c r="N10" s="289">
        <v>2000</v>
      </c>
      <c r="O10" s="290"/>
      <c r="P10" s="291" t="str">
        <f>'fin overz 31 dec 2016'!E19</f>
        <v>*Reservering diversen</v>
      </c>
      <c r="Q10" s="352" t="str">
        <f>'project 2018'!E60</f>
        <v>nr.4</v>
      </c>
      <c r="R10" s="437">
        <f>'project 2018'!F103</f>
        <v>133.32000000000008</v>
      </c>
      <c r="S10" s="289">
        <f>'fin overz 31 dec 2016'!H19</f>
        <v>99.230000000000075</v>
      </c>
    </row>
    <row r="11" spans="1:21" ht="15" x14ac:dyDescent="0.25">
      <c r="A11" s="23"/>
      <c r="E11" s="4"/>
      <c r="F11" s="221" t="str">
        <f>'31 dec 2019'!E17</f>
        <v xml:space="preserve">*Te besteden voor tuin </v>
      </c>
      <c r="G11" s="431">
        <f>'31 dec 2019'!F17</f>
        <v>2</v>
      </c>
      <c r="H11" s="116">
        <f>'project 2018'!F36</f>
        <v>598.16999999999985</v>
      </c>
      <c r="I11" s="292">
        <f>'fin overz 31 dec 2016'!H17</f>
        <v>598.16999999999985</v>
      </c>
      <c r="J11" s="116">
        <v>598.16999999999985</v>
      </c>
      <c r="L11" s="288"/>
      <c r="M11" s="403"/>
      <c r="N11" s="289"/>
      <c r="O11" s="290"/>
      <c r="P11" s="291" t="str">
        <f>'fin overz 31 dec 2016'!E20</f>
        <v>*Te besteden voor tentoonstelling</v>
      </c>
      <c r="Q11" s="352" t="str">
        <f>'project 2018'!E126</f>
        <v>nr.5</v>
      </c>
      <c r="R11" s="437">
        <f>'project 2018'!F135</f>
        <v>0</v>
      </c>
      <c r="S11" s="289">
        <f>'fin overz 31 dec 2016'!H20</f>
        <v>2084</v>
      </c>
    </row>
    <row r="12" spans="1:21" ht="15" x14ac:dyDescent="0.25">
      <c r="A12" s="192" t="s">
        <v>73</v>
      </c>
      <c r="B12" s="7"/>
      <c r="C12" s="193">
        <v>7537.84</v>
      </c>
      <c r="D12" s="193">
        <f>'fin overz 31 dec 2016'!C20</f>
        <v>7708.3099999999995</v>
      </c>
      <c r="E12" s="4"/>
      <c r="F12" s="221" t="str">
        <f>'31 dec 2019'!E18</f>
        <v>*Te besteden voor algemene publieksact.</v>
      </c>
      <c r="G12" s="431">
        <f>'31 dec 2019'!F18</f>
        <v>3</v>
      </c>
      <c r="H12" s="116">
        <f>'project 2018'!F56</f>
        <v>2.2282176104226892E-13</v>
      </c>
      <c r="I12" s="292">
        <f>'fin overz 31 dec 2016'!H18</f>
        <v>0.63000000000022283</v>
      </c>
      <c r="J12" s="116">
        <v>2.2282176104226892E-13</v>
      </c>
      <c r="L12" s="288" t="s">
        <v>59</v>
      </c>
      <c r="M12" s="433">
        <v>5</v>
      </c>
      <c r="N12" s="289">
        <v>5</v>
      </c>
      <c r="O12" s="290"/>
      <c r="P12" s="291" t="str">
        <f>'fin overz 31 dec 2016'!E21</f>
        <v>*Te besteden herinrichting ruimte</v>
      </c>
      <c r="Q12" s="352" t="str">
        <f>'project 2018'!E137</f>
        <v>nr.6</v>
      </c>
      <c r="R12" s="437">
        <f>'project 2018'!F151</f>
        <v>31.440000000000012</v>
      </c>
      <c r="S12" s="289">
        <f>'fin overz 31 dec 2016'!H21</f>
        <v>100.1400000000001</v>
      </c>
      <c r="T12" s="116"/>
    </row>
    <row r="13" spans="1:21" ht="15" x14ac:dyDescent="0.25">
      <c r="A13" s="365"/>
      <c r="B13" s="116"/>
      <c r="C13" s="116"/>
      <c r="E13" s="4"/>
      <c r="F13" s="221" t="str">
        <f>'31 dec 2019'!E19</f>
        <v>*Reservering diversen</v>
      </c>
      <c r="G13" s="431">
        <f>'31 dec 2019'!F19</f>
        <v>4</v>
      </c>
      <c r="H13" s="116">
        <f>'project 2018'!F103</f>
        <v>133.32000000000008</v>
      </c>
      <c r="I13" s="292">
        <f>'fin overz 31 dec 2016'!H19</f>
        <v>99.230000000000075</v>
      </c>
      <c r="J13" s="116">
        <v>133.32000000000008</v>
      </c>
      <c r="L13" s="288" t="s">
        <v>180</v>
      </c>
      <c r="M13" s="433">
        <v>50</v>
      </c>
      <c r="N13" s="289">
        <v>50</v>
      </c>
      <c r="O13" s="290"/>
      <c r="P13" s="291" t="str">
        <f>'fin overz 31 dec 2016'!E22</f>
        <v>*Te besteden 50 dingen boekje</v>
      </c>
      <c r="Q13" s="352" t="str">
        <f>'project 2018'!E164</f>
        <v>nr.7</v>
      </c>
      <c r="R13" s="437">
        <f>'project 2018'!F204</f>
        <v>7537.8399999999983</v>
      </c>
      <c r="S13" s="289">
        <f>'fin overz 31 dec 2016'!H22</f>
        <v>8153.3099999999977</v>
      </c>
      <c r="U13" s="7"/>
    </row>
    <row r="14" spans="1:21" ht="15" x14ac:dyDescent="0.25">
      <c r="A14" s="23"/>
      <c r="E14" s="4"/>
      <c r="F14" s="221" t="str">
        <f>'31 dec 2019'!E20</f>
        <v>*Te besteden voor tentoonstelling</v>
      </c>
      <c r="G14" s="431">
        <f>'31 dec 2019'!F20</f>
        <v>5</v>
      </c>
      <c r="H14" s="116">
        <f>'project 2018'!F135</f>
        <v>0</v>
      </c>
      <c r="I14" s="292">
        <f>'fin overz 31 dec 2016'!H20</f>
        <v>2084</v>
      </c>
      <c r="J14" s="116">
        <v>0</v>
      </c>
      <c r="L14" s="288"/>
      <c r="M14" s="403"/>
      <c r="N14" s="289" t="s">
        <v>183</v>
      </c>
      <c r="O14" s="290"/>
      <c r="P14" s="291" t="str">
        <f>'fin overz 31 dec 2016'!E23</f>
        <v>*Basisonderwijs/st. Ronde Venen fonds</v>
      </c>
      <c r="Q14" s="352" t="str">
        <f>'project 2018'!E227</f>
        <v>nr.8</v>
      </c>
      <c r="R14" s="442">
        <f>'project 2018'!F234+M16</f>
        <v>3000</v>
      </c>
      <c r="S14" s="289">
        <f>'fin overz 31 dec 2016'!H23</f>
        <v>0</v>
      </c>
      <c r="U14" s="7"/>
    </row>
    <row r="15" spans="1:21" ht="15" x14ac:dyDescent="0.25">
      <c r="A15" s="192"/>
      <c r="B15" s="7"/>
      <c r="C15" s="7"/>
      <c r="D15" s="7"/>
      <c r="E15" s="4"/>
      <c r="F15" s="221" t="str">
        <f>'31 dec 2019'!E21</f>
        <v>*Te besteden herinrichting ruimte</v>
      </c>
      <c r="G15" s="431">
        <f>'31 dec 2019'!F21</f>
        <v>6</v>
      </c>
      <c r="H15" s="116">
        <f>'project 2018'!F151</f>
        <v>31.440000000000012</v>
      </c>
      <c r="I15" s="292">
        <f>'fin overz 31 dec 2016'!H21</f>
        <v>100.1400000000001</v>
      </c>
      <c r="J15" s="116">
        <v>31.440000000000012</v>
      </c>
      <c r="L15" s="288" t="s">
        <v>294</v>
      </c>
      <c r="M15" s="403"/>
      <c r="N15" s="289"/>
      <c r="O15" s="290"/>
      <c r="P15" s="291" t="str">
        <f>'fin overz 31 dec 2016'!E24</f>
        <v>*Stichting Doen/Oranjefonds</v>
      </c>
      <c r="Q15" s="352" t="str">
        <f>'project 2018'!E248</f>
        <v>nr.9</v>
      </c>
      <c r="R15" s="437">
        <f>'project 2018'!F257</f>
        <v>48.66</v>
      </c>
      <c r="S15" s="289">
        <f>'fin overz 31 dec 2016'!H24</f>
        <v>48.66</v>
      </c>
      <c r="U15" s="7"/>
    </row>
    <row r="16" spans="1:21" ht="15" x14ac:dyDescent="0.25">
      <c r="A16" s="192"/>
      <c r="B16" s="7"/>
      <c r="C16" s="7"/>
      <c r="D16" s="7"/>
      <c r="E16" s="4"/>
      <c r="F16" s="221" t="str">
        <f>'31 dec 2019'!E22</f>
        <v>*Te besteden 50 dingen boekje</v>
      </c>
      <c r="G16" s="431">
        <f>'31 dec 2019'!F22</f>
        <v>7</v>
      </c>
      <c r="H16" s="116">
        <f>'project 2018'!F204</f>
        <v>7537.8399999999983</v>
      </c>
      <c r="I16" s="292">
        <f>'fin overz 31 dec 2016'!H22</f>
        <v>8153.3099999999977</v>
      </c>
      <c r="J16" s="116">
        <v>7537.8399999999983</v>
      </c>
      <c r="L16" s="288" t="s">
        <v>295</v>
      </c>
      <c r="M16" s="433">
        <v>3000</v>
      </c>
      <c r="N16" s="289"/>
      <c r="O16" s="290"/>
      <c r="P16" s="291" t="str">
        <f>'fin overz 31 dec 2016'!E25</f>
        <v>*Rotary Vinkeveen</v>
      </c>
      <c r="Q16" s="352" t="str">
        <f>'project 2018'!E268</f>
        <v>nr 10</v>
      </c>
      <c r="R16" s="437">
        <f>'project 2018'!F277</f>
        <v>0</v>
      </c>
      <c r="S16" s="289">
        <f>'fin overz 31 dec 2016'!H25-'fin overz 31 dec 2016'!G25</f>
        <v>9.9999999999909051E-3</v>
      </c>
      <c r="U16" s="7"/>
    </row>
    <row r="17" spans="1:21" ht="15" x14ac:dyDescent="0.25">
      <c r="A17" s="192"/>
      <c r="B17" s="7"/>
      <c r="C17" s="7"/>
      <c r="D17" s="7"/>
      <c r="E17" s="4"/>
      <c r="F17" s="221" t="str">
        <f>'31 dec 2019'!E23</f>
        <v>*Basisonderwijs/st. Ronde Venen fonds</v>
      </c>
      <c r="G17" s="431">
        <f>'31 dec 2019'!F23</f>
        <v>8</v>
      </c>
      <c r="H17" s="116">
        <f>'project 2018'!F236</f>
        <v>1500</v>
      </c>
      <c r="I17" s="292">
        <f>'fin overz 31 dec 2016'!H23</f>
        <v>0</v>
      </c>
      <c r="J17" s="116">
        <v>1500</v>
      </c>
      <c r="L17" s="288" t="s">
        <v>297</v>
      </c>
      <c r="M17" s="433">
        <v>13620</v>
      </c>
      <c r="N17" s="289"/>
      <c r="O17" s="290"/>
      <c r="P17" s="291" t="str">
        <f>'fin overz 31 dec 2016'!E26</f>
        <v>*25 jarig bestaan</v>
      </c>
      <c r="Q17" s="352" t="str">
        <f>'project 2018'!E280</f>
        <v>nr.11</v>
      </c>
      <c r="R17" s="441">
        <v>15664.05</v>
      </c>
      <c r="S17" s="289">
        <f>'fin overz 31 dec 2016'!H26</f>
        <v>10000</v>
      </c>
    </row>
    <row r="18" spans="1:21" ht="15" x14ac:dyDescent="0.25">
      <c r="A18" s="192"/>
      <c r="B18" s="7"/>
      <c r="C18" s="7"/>
      <c r="D18" s="7"/>
      <c r="E18" s="4"/>
      <c r="F18" s="221" t="str">
        <f>'31 dec 2019'!E24</f>
        <v>*Stichting Doen/Oranjefonds</v>
      </c>
      <c r="G18" s="431">
        <f>'31 dec 2019'!F24</f>
        <v>9</v>
      </c>
      <c r="H18" s="116">
        <f>'project 2018'!F257</f>
        <v>48.66</v>
      </c>
      <c r="I18" s="292">
        <f>'fin overz 31 dec 2016'!H24</f>
        <v>48.66</v>
      </c>
      <c r="J18" s="116">
        <v>48.66</v>
      </c>
      <c r="L18" s="288"/>
      <c r="M18" s="403"/>
      <c r="N18" s="289"/>
      <c r="O18" s="290"/>
      <c r="P18" s="403" t="s">
        <v>223</v>
      </c>
      <c r="Q18" s="353" t="str">
        <f>'project 2018'!E351</f>
        <v>nr 12</v>
      </c>
      <c r="R18" s="438">
        <f>'project 2018'!F360</f>
        <v>926</v>
      </c>
      <c r="S18" s="289">
        <v>2000</v>
      </c>
    </row>
    <row r="19" spans="1:21" ht="15" x14ac:dyDescent="0.25">
      <c r="A19" s="192"/>
      <c r="B19" s="7"/>
      <c r="C19" s="7"/>
      <c r="D19" s="7"/>
      <c r="E19" s="4"/>
      <c r="F19" s="221" t="str">
        <f>'31 dec 2019'!E25</f>
        <v>*Rotary Vinkeveen</v>
      </c>
      <c r="G19" s="431">
        <f>'31 dec 2019'!F25</f>
        <v>10</v>
      </c>
      <c r="H19" s="116">
        <f>'project 2018'!F277</f>
        <v>0</v>
      </c>
      <c r="I19" s="292">
        <f>'fin overz 31 dec 2016'!H25-'fin overz 31 dec 2016'!G25</f>
        <v>9.9999999999909051E-3</v>
      </c>
      <c r="J19" s="116">
        <v>0</v>
      </c>
      <c r="L19" s="443" t="s">
        <v>298</v>
      </c>
      <c r="M19" s="403"/>
      <c r="N19" s="289"/>
      <c r="O19" s="290"/>
      <c r="P19" s="294"/>
      <c r="Q19" s="353"/>
      <c r="R19" s="438"/>
      <c r="S19" s="255"/>
    </row>
    <row r="20" spans="1:21" ht="15" x14ac:dyDescent="0.25">
      <c r="A20" s="192"/>
      <c r="B20" s="7"/>
      <c r="C20" s="7"/>
      <c r="D20" s="7"/>
      <c r="E20" s="4"/>
      <c r="F20" s="221" t="str">
        <f>'31 dec 2019'!E26</f>
        <v>*25 jarig bestaan</v>
      </c>
      <c r="G20" s="431">
        <f>'31 dec 2019'!F26</f>
        <v>11</v>
      </c>
      <c r="H20" s="116">
        <f>'project 2018'!F328</f>
        <v>1376.3299999999945</v>
      </c>
      <c r="I20" s="292">
        <f>'fin overz 31 dec 2016'!H26</f>
        <v>10000</v>
      </c>
      <c r="J20" s="116">
        <v>1376.3299999999945</v>
      </c>
      <c r="L20" s="443" t="s">
        <v>299</v>
      </c>
      <c r="M20" s="433"/>
      <c r="N20" s="289"/>
      <c r="O20" s="290"/>
      <c r="P20" s="294"/>
      <c r="Q20" s="353"/>
      <c r="R20" s="438"/>
      <c r="S20" s="290"/>
      <c r="T20" s="116"/>
    </row>
    <row r="21" spans="1:21" ht="15" x14ac:dyDescent="0.25">
      <c r="A21" s="192"/>
      <c r="B21" s="7"/>
      <c r="C21" s="7"/>
      <c r="D21" s="7"/>
      <c r="E21" s="4"/>
      <c r="F21" s="221" t="str">
        <f>'31 dec 2019'!E27</f>
        <v>*Ontwikkeling NME (1)</v>
      </c>
      <c r="G21" s="431">
        <f>'31 dec 2019'!F27</f>
        <v>12</v>
      </c>
      <c r="H21" s="116">
        <f>'project 2018'!F360</f>
        <v>926</v>
      </c>
      <c r="I21" s="292"/>
      <c r="J21" s="116">
        <v>926</v>
      </c>
      <c r="L21" s="288"/>
      <c r="M21" s="433"/>
      <c r="N21" s="289"/>
      <c r="O21" s="290"/>
      <c r="P21" s="403" t="s">
        <v>224</v>
      </c>
      <c r="Q21" s="353"/>
      <c r="R21" s="438">
        <f>SUM(R7:R20)</f>
        <v>28172</v>
      </c>
      <c r="S21" s="255">
        <f>SUM(S7:S20)</f>
        <v>23473.839999999997</v>
      </c>
      <c r="T21" s="116"/>
    </row>
    <row r="22" spans="1:21" ht="16.2" thickBot="1" x14ac:dyDescent="0.35">
      <c r="A22" s="192"/>
      <c r="B22" s="7"/>
      <c r="C22" s="7"/>
      <c r="D22" s="7"/>
      <c r="E22" s="297"/>
      <c r="F22" s="298"/>
      <c r="G22" s="298"/>
      <c r="H22" s="298"/>
      <c r="I22" s="457"/>
      <c r="J22" s="298"/>
      <c r="L22" s="314"/>
      <c r="M22" s="466"/>
      <c r="N22" s="467"/>
      <c r="O22" s="290"/>
      <c r="P22" s="444" t="s">
        <v>163</v>
      </c>
      <c r="Q22" s="445"/>
      <c r="R22" s="446">
        <f>R23-R21</f>
        <v>1591.6100000000006</v>
      </c>
      <c r="S22" s="255">
        <f>S23-S21</f>
        <v>759.31000000000495</v>
      </c>
      <c r="T22" s="116"/>
    </row>
    <row r="23" spans="1:21" ht="15.6" thickBot="1" x14ac:dyDescent="0.3">
      <c r="A23" s="366" t="s">
        <v>205</v>
      </c>
      <c r="B23" s="299"/>
      <c r="C23" s="299">
        <f>SUM(C8:C14)</f>
        <v>13088.61</v>
      </c>
      <c r="D23" s="299">
        <f>SUM(D8:D22)</f>
        <v>22178.15</v>
      </c>
      <c r="E23" s="300"/>
      <c r="F23" s="301"/>
      <c r="G23" s="301"/>
      <c r="H23" s="299">
        <f>C23</f>
        <v>13088.61</v>
      </c>
      <c r="I23" s="303">
        <f>D23</f>
        <v>22178.15</v>
      </c>
      <c r="J23" s="299">
        <v>13088.61</v>
      </c>
      <c r="K23" s="116"/>
      <c r="L23" s="476" t="s">
        <v>79</v>
      </c>
      <c r="M23" s="477">
        <f>SUM(M7:M19)</f>
        <v>29763.61</v>
      </c>
      <c r="N23" s="477">
        <f>SUM(N7:N22)</f>
        <v>24233.15</v>
      </c>
      <c r="O23" s="478"/>
      <c r="P23" s="479" t="s">
        <v>79</v>
      </c>
      <c r="Q23" s="480"/>
      <c r="R23" s="481">
        <f>M23</f>
        <v>29763.61</v>
      </c>
      <c r="S23" s="482">
        <f>N23</f>
        <v>24233.15</v>
      </c>
    </row>
    <row r="24" spans="1:21" ht="15.6" thickBot="1" x14ac:dyDescent="0.3">
      <c r="A24" s="309"/>
      <c r="B24" s="310"/>
      <c r="C24" s="310"/>
      <c r="D24" s="310"/>
      <c r="E24" s="311"/>
      <c r="F24" s="310"/>
      <c r="G24" s="310"/>
      <c r="H24" s="432"/>
      <c r="I24" s="458"/>
      <c r="L24" s="288"/>
      <c r="M24" s="403"/>
      <c r="N24" s="433"/>
      <c r="O24" s="483"/>
      <c r="P24" s="317"/>
      <c r="Q24" s="355"/>
      <c r="R24" s="484"/>
      <c r="S24" s="318"/>
    </row>
    <row r="25" spans="1:21" ht="15.6" thickBot="1" x14ac:dyDescent="0.3">
      <c r="A25" s="309"/>
      <c r="B25" s="310"/>
      <c r="C25" s="310"/>
      <c r="D25" s="310"/>
      <c r="E25" s="311"/>
      <c r="F25" s="310"/>
      <c r="G25" s="310"/>
      <c r="H25" s="432"/>
      <c r="I25" s="458"/>
      <c r="L25" s="497" t="s">
        <v>301</v>
      </c>
      <c r="M25" s="498">
        <f>M17+'project 2018'!F328</f>
        <v>14996.329999999994</v>
      </c>
      <c r="N25" s="190"/>
      <c r="O25" s="32"/>
      <c r="P25" s="485" t="str">
        <f>P14</f>
        <v>*Basisonderwijs/st. Ronde Venen fonds</v>
      </c>
      <c r="Q25" s="468" t="s">
        <v>300</v>
      </c>
      <c r="R25" s="469"/>
      <c r="S25" s="470"/>
      <c r="T25" s="471"/>
      <c r="U25" s="49"/>
    </row>
    <row r="26" spans="1:21" ht="15.6" thickBot="1" x14ac:dyDescent="0.3">
      <c r="A26" s="189"/>
      <c r="B26" s="32"/>
      <c r="C26" s="452">
        <f>C23-D23</f>
        <v>-9089.5400000000009</v>
      </c>
      <c r="D26" s="32"/>
      <c r="E26" s="271"/>
      <c r="F26" s="270"/>
      <c r="G26" s="270"/>
      <c r="H26" s="516"/>
      <c r="I26" s="270"/>
      <c r="L26" s="486" t="s">
        <v>302</v>
      </c>
      <c r="M26" s="499">
        <f>M25-R17</f>
        <v>-667.7200000000048</v>
      </c>
      <c r="N26" s="216"/>
      <c r="O26" s="215"/>
      <c r="P26" s="486" t="s">
        <v>121</v>
      </c>
      <c r="Q26" s="473" t="s">
        <v>324</v>
      </c>
      <c r="R26" s="474"/>
      <c r="S26" s="472"/>
      <c r="T26" s="475"/>
      <c r="U26" s="49"/>
    </row>
    <row r="27" spans="1:21" ht="15.6" x14ac:dyDescent="0.3">
      <c r="A27" s="841" t="s">
        <v>292</v>
      </c>
      <c r="B27" s="842"/>
      <c r="C27" s="842"/>
      <c r="D27" s="842"/>
      <c r="E27" s="842"/>
      <c r="F27" s="842"/>
      <c r="G27" s="842"/>
      <c r="H27" s="842"/>
      <c r="I27" s="843"/>
      <c r="L27" s="489" t="s">
        <v>323</v>
      </c>
      <c r="M27" s="490"/>
      <c r="Q27" s="348"/>
    </row>
    <row r="28" spans="1:21" ht="13.8" x14ac:dyDescent="0.25">
      <c r="A28" s="321" t="s">
        <v>175</v>
      </c>
      <c r="B28" s="322"/>
      <c r="C28" s="322"/>
      <c r="D28" s="322"/>
      <c r="E28" s="324"/>
      <c r="F28" s="219" t="s">
        <v>176</v>
      </c>
      <c r="G28" s="219"/>
      <c r="H28" s="219"/>
      <c r="I28" s="454"/>
      <c r="L28" s="491" t="s">
        <v>320</v>
      </c>
      <c r="M28" s="492">
        <f>H8</f>
        <v>704.3300000000072</v>
      </c>
      <c r="Q28" s="348"/>
    </row>
    <row r="29" spans="1:21" x14ac:dyDescent="0.25">
      <c r="A29" s="23"/>
      <c r="C29">
        <v>2017</v>
      </c>
      <c r="D29">
        <v>2016</v>
      </c>
      <c r="E29" s="224"/>
      <c r="H29">
        <v>2017</v>
      </c>
      <c r="I29" s="51">
        <v>2016</v>
      </c>
      <c r="L29" s="491" t="s">
        <v>302</v>
      </c>
      <c r="M29" s="493">
        <f>M26</f>
        <v>-667.7200000000048</v>
      </c>
      <c r="N29" s="116"/>
      <c r="Q29" s="348"/>
    </row>
    <row r="30" spans="1:21" ht="13.8" x14ac:dyDescent="0.25">
      <c r="A30" s="42"/>
      <c r="B30" s="1"/>
      <c r="C30" s="1"/>
      <c r="D30" s="1"/>
      <c r="F30" s="7" t="s">
        <v>210</v>
      </c>
      <c r="G30" s="1">
        <f>'fin overz 31 dec 2016'!F16</f>
        <v>1</v>
      </c>
      <c r="H30" s="1">
        <f>-'project 2018'!F16</f>
        <v>158.30000000000001</v>
      </c>
      <c r="I30" s="459">
        <f>-'fin overz 31 dec 2016'!I16</f>
        <v>308.64999999999998</v>
      </c>
      <c r="L30" s="491" t="s">
        <v>321</v>
      </c>
      <c r="M30" s="493">
        <f>M12+M13</f>
        <v>55</v>
      </c>
      <c r="O30" s="116"/>
      <c r="P30" s="116"/>
      <c r="Q30" s="348"/>
      <c r="S30" s="116"/>
      <c r="T30" s="116"/>
    </row>
    <row r="31" spans="1:21" ht="13.8" thickBot="1" x14ac:dyDescent="0.3">
      <c r="A31" s="192" t="s">
        <v>194</v>
      </c>
      <c r="B31" s="7">
        <v>1</v>
      </c>
      <c r="C31" s="193">
        <f>'project 2018'!F12</f>
        <v>1.1299999999999999</v>
      </c>
      <c r="D31" s="193">
        <f>'project 2016'!F11+'project 2016'!F52</f>
        <v>9.9499999999999993</v>
      </c>
      <c r="E31" s="7"/>
      <c r="F31" s="7" t="s">
        <v>191</v>
      </c>
      <c r="G31" s="7">
        <f>'fin overz 31 dec 2016'!F18</f>
        <v>3</v>
      </c>
      <c r="H31" s="7">
        <f>-'project 2018'!F55</f>
        <v>0.63</v>
      </c>
      <c r="I31" s="231">
        <f>-'fin overz 31 dec 2016'!I18</f>
        <v>408.18</v>
      </c>
      <c r="L31" s="491"/>
      <c r="M31" s="494"/>
      <c r="O31" s="116"/>
      <c r="P31" s="116"/>
      <c r="Q31" s="348"/>
      <c r="S31" s="116"/>
      <c r="T31" s="116"/>
    </row>
    <row r="32" spans="1:21" ht="13.8" thickBot="1" x14ac:dyDescent="0.3">
      <c r="A32" s="192" t="s">
        <v>67</v>
      </c>
      <c r="B32" s="7">
        <v>4</v>
      </c>
      <c r="C32" s="193">
        <f>'project 2018'!F83</f>
        <v>213.92</v>
      </c>
      <c r="D32" s="193"/>
      <c r="E32" s="7"/>
      <c r="F32" s="7" t="str">
        <f>'project 2018'!B126</f>
        <v>Donatie  St Ronde venen Fonds</v>
      </c>
      <c r="G32" s="7">
        <v>5</v>
      </c>
      <c r="H32" s="7">
        <f>-'project 2018'!F134</f>
        <v>2084</v>
      </c>
      <c r="I32" s="231"/>
      <c r="L32" s="495" t="s">
        <v>322</v>
      </c>
      <c r="M32" s="496">
        <f>SUM(M28:M31)</f>
        <v>91.610000000002401</v>
      </c>
      <c r="O32" s="116"/>
      <c r="P32" s="116"/>
      <c r="Q32" s="348"/>
      <c r="S32" s="116"/>
      <c r="T32" s="116"/>
    </row>
    <row r="33" spans="1:20" x14ac:dyDescent="0.25">
      <c r="A33" s="25" t="str">
        <f>'project 2016'!C85</f>
        <v>Subsidie Pr.Bernh.Cult.Fonds</v>
      </c>
      <c r="B33">
        <v>6</v>
      </c>
      <c r="D33" s="116">
        <f>'fin overz 31 dec 2016'!J21</f>
        <v>1250</v>
      </c>
      <c r="E33" s="7"/>
      <c r="F33" s="7" t="s">
        <v>211</v>
      </c>
      <c r="G33" s="7">
        <f>'fin overz 31 dec 2016'!F19</f>
        <v>4</v>
      </c>
      <c r="H33" s="193">
        <f>-'project 2018'!F101</f>
        <v>179.83</v>
      </c>
      <c r="I33" s="231">
        <f>-'project 2016'!F66</f>
        <v>127.50000000000003</v>
      </c>
      <c r="J33" s="221"/>
      <c r="K33" s="193"/>
      <c r="O33" s="116"/>
      <c r="P33" s="116"/>
      <c r="Q33" s="348"/>
      <c r="S33" s="116"/>
      <c r="T33" s="116"/>
    </row>
    <row r="34" spans="1:20" x14ac:dyDescent="0.25">
      <c r="A34" s="192" t="s">
        <v>207</v>
      </c>
      <c r="B34">
        <v>7</v>
      </c>
      <c r="C34" s="116">
        <f>'project 2018'!F196</f>
        <v>103.28999999999999</v>
      </c>
      <c r="D34" s="116">
        <f>'fin overz 31 dec 2016'!J22</f>
        <v>20395</v>
      </c>
      <c r="E34" s="7"/>
      <c r="F34" s="7" t="s">
        <v>308</v>
      </c>
      <c r="G34" s="7">
        <f>'fin overz 31 dec 2016'!F21</f>
        <v>6</v>
      </c>
      <c r="H34" s="193">
        <f>-'project 2018'!F150</f>
        <v>68.7</v>
      </c>
      <c r="I34" s="231">
        <f>-'project 2016'!F89</f>
        <v>216.59</v>
      </c>
      <c r="J34" s="221"/>
      <c r="K34" s="193"/>
      <c r="O34" s="116"/>
      <c r="P34" s="193"/>
      <c r="Q34" s="356"/>
      <c r="R34" s="439"/>
      <c r="S34" s="116"/>
      <c r="T34" s="116"/>
    </row>
    <row r="35" spans="1:20" x14ac:dyDescent="0.25">
      <c r="A35" s="344" t="str">
        <f>'project 2016'!C129</f>
        <v>Donatie St. De Ronde Venen</v>
      </c>
      <c r="B35">
        <v>8</v>
      </c>
      <c r="C35" s="116">
        <f>'project 2018'!F235</f>
        <v>1500</v>
      </c>
      <c r="D35" s="116">
        <f>'fin overz 31 dec 2016'!J23</f>
        <v>1500</v>
      </c>
      <c r="E35" s="7"/>
      <c r="F35" s="7" t="s">
        <v>83</v>
      </c>
      <c r="G35">
        <v>7</v>
      </c>
      <c r="H35" s="116">
        <f>-'project 2018'!F203</f>
        <v>718.76</v>
      </c>
      <c r="I35" s="194">
        <f>-'project 2016'!F119</f>
        <v>17241.690000000002</v>
      </c>
      <c r="J35" s="221"/>
      <c r="K35" s="193"/>
      <c r="O35" s="116"/>
      <c r="P35" s="116"/>
      <c r="Q35" s="348"/>
      <c r="S35" s="116"/>
      <c r="T35" s="116"/>
    </row>
    <row r="36" spans="1:20" x14ac:dyDescent="0.25">
      <c r="A36" s="344" t="str">
        <f>'project 2016'!C139</f>
        <v>Donatie Oranje Fonds</v>
      </c>
      <c r="B36">
        <v>9</v>
      </c>
      <c r="C36" s="116">
        <f>'project 2018'!F255</f>
        <v>0</v>
      </c>
      <c r="D36" s="116">
        <f>'fin overz 31 dec 2016'!J24</f>
        <v>200</v>
      </c>
      <c r="E36" s="221"/>
      <c r="F36" s="284" t="str">
        <f>'project 2016'!C132</f>
        <v>stimuler.bijdr NME ODRU</v>
      </c>
      <c r="G36">
        <v>8</v>
      </c>
      <c r="I36" s="194">
        <f>-'project 2016'!F132</f>
        <v>1500</v>
      </c>
      <c r="J36" s="221"/>
      <c r="K36" s="193"/>
      <c r="O36" s="116"/>
      <c r="P36" s="116"/>
      <c r="Q36" s="348"/>
      <c r="S36" s="116"/>
      <c r="T36" s="116"/>
    </row>
    <row r="37" spans="1:20" x14ac:dyDescent="0.25">
      <c r="A37" s="344" t="str">
        <f>'project 2016'!C147</f>
        <v>Donatie Rotary Vinkenveen</v>
      </c>
      <c r="B37">
        <v>10</v>
      </c>
      <c r="C37" s="116">
        <f>'project 2018'!F276</f>
        <v>9.9999999999909051E-3</v>
      </c>
      <c r="D37" s="116">
        <f>'fin overz 31 dec 2016'!J25</f>
        <v>300</v>
      </c>
      <c r="E37" s="221"/>
      <c r="F37" s="284" t="str">
        <f>'project 2016'!C140</f>
        <v>Div kosten/ decl Overgaag</v>
      </c>
      <c r="G37">
        <v>9</v>
      </c>
      <c r="I37" s="231">
        <f>-'project 2016'!F140</f>
        <v>151.34</v>
      </c>
      <c r="J37" s="221"/>
      <c r="K37" s="193"/>
      <c r="O37" s="116"/>
      <c r="P37" s="116"/>
      <c r="Q37" s="348"/>
      <c r="S37" s="116"/>
      <c r="T37" s="116"/>
    </row>
    <row r="38" spans="1:20" x14ac:dyDescent="0.25">
      <c r="A38" s="344" t="str">
        <f>'project 2016'!C159</f>
        <v>Donatie Johnson 10 jarig bestaan</v>
      </c>
      <c r="B38">
        <v>11</v>
      </c>
      <c r="C38" s="116">
        <f>'project 2018'!F299</f>
        <v>9982.2800000000007</v>
      </c>
      <c r="D38" s="116">
        <f>'fin overz 31 dec 2016'!J26</f>
        <v>10000</v>
      </c>
      <c r="F38" s="284" t="str">
        <f>'project 2016'!C150</f>
        <v>bijdrage leskist water,etc, ODRU</v>
      </c>
      <c r="G38">
        <v>10</v>
      </c>
      <c r="I38" s="194">
        <f>-'project 2016'!F150</f>
        <v>300.01</v>
      </c>
      <c r="L38" s="7"/>
      <c r="M38" s="7"/>
      <c r="O38" s="116"/>
      <c r="P38" s="116"/>
      <c r="Q38" s="348"/>
      <c r="S38" s="116"/>
      <c r="T38" s="116"/>
    </row>
    <row r="39" spans="1:20" x14ac:dyDescent="0.25">
      <c r="A39" s="192" t="s">
        <v>305</v>
      </c>
      <c r="B39">
        <v>12</v>
      </c>
      <c r="C39" s="116">
        <f>'project 2018'!F353</f>
        <v>2000</v>
      </c>
      <c r="D39" s="7"/>
      <c r="E39" s="221"/>
      <c r="F39" t="str">
        <f>'project 2018'!B280</f>
        <v>25 jarig bestaan</v>
      </c>
      <c r="G39">
        <v>11</v>
      </c>
      <c r="H39" s="116">
        <f>-'project 2018'!F326</f>
        <v>18605.950000000004</v>
      </c>
      <c r="I39" s="51"/>
      <c r="L39" s="7"/>
      <c r="M39" s="7"/>
      <c r="O39" s="116"/>
      <c r="P39" s="7"/>
      <c r="Q39" s="356"/>
      <c r="R39" s="439"/>
      <c r="S39" s="116"/>
      <c r="T39" s="116"/>
    </row>
    <row r="40" spans="1:20" x14ac:dyDescent="0.25">
      <c r="A40" s="192"/>
      <c r="B40" s="7"/>
      <c r="C40" s="7"/>
      <c r="D40" s="7"/>
      <c r="E40" s="221"/>
      <c r="F40" t="str">
        <f>'project 2018'!B351</f>
        <v>Stimulering NME</v>
      </c>
      <c r="G40">
        <v>12</v>
      </c>
      <c r="H40" s="116">
        <f>-'project 2018'!F358</f>
        <v>1074</v>
      </c>
      <c r="I40" s="51"/>
      <c r="L40" s="7"/>
      <c r="M40" s="7"/>
      <c r="O40" s="116"/>
      <c r="P40" s="116"/>
      <c r="Q40" s="348"/>
      <c r="S40" s="116"/>
      <c r="T40" s="116"/>
    </row>
    <row r="41" spans="1:20" x14ac:dyDescent="0.25">
      <c r="A41" s="192"/>
      <c r="B41" s="7"/>
      <c r="C41" s="7"/>
      <c r="D41" s="7"/>
      <c r="E41" s="221"/>
      <c r="F41" s="7" t="s">
        <v>190</v>
      </c>
      <c r="G41" s="7"/>
      <c r="H41" s="7"/>
      <c r="I41" s="191"/>
      <c r="L41" s="7"/>
      <c r="M41" s="7"/>
      <c r="O41" s="116"/>
      <c r="P41" s="116"/>
      <c r="Q41" s="348"/>
      <c r="S41" s="193"/>
      <c r="T41" s="193"/>
    </row>
    <row r="42" spans="1:20" x14ac:dyDescent="0.25">
      <c r="A42" s="192"/>
      <c r="B42" s="7"/>
      <c r="C42" s="7"/>
      <c r="D42" s="7"/>
      <c r="E42" s="221"/>
      <c r="F42" s="7" t="s">
        <v>195</v>
      </c>
      <c r="G42" s="7"/>
      <c r="H42" s="7"/>
      <c r="I42" s="191"/>
      <c r="P42" s="116"/>
      <c r="Q42" s="348"/>
      <c r="S42" s="193"/>
    </row>
    <row r="43" spans="1:20" x14ac:dyDescent="0.25">
      <c r="A43" s="23"/>
      <c r="E43" s="221"/>
      <c r="I43" s="51"/>
      <c r="P43" s="116"/>
      <c r="Q43" s="348"/>
      <c r="S43" s="193"/>
    </row>
    <row r="44" spans="1:20" x14ac:dyDescent="0.25">
      <c r="A44" s="360" t="s">
        <v>219</v>
      </c>
      <c r="B44" s="361"/>
      <c r="C44" s="362">
        <f>SUM(C31:C43)</f>
        <v>13800.630000000001</v>
      </c>
      <c r="D44" s="362">
        <f>SUM(D31:D43)</f>
        <v>33654.949999999997</v>
      </c>
      <c r="E44" s="329"/>
      <c r="F44" s="361" t="s">
        <v>218</v>
      </c>
      <c r="G44" s="361"/>
      <c r="H44" s="362">
        <f>SUM(H30:H42)</f>
        <v>22890.170000000006</v>
      </c>
      <c r="I44" s="460">
        <f>SUM(I30:I42)</f>
        <v>20253.96</v>
      </c>
      <c r="P44" s="116"/>
      <c r="Q44" s="348"/>
      <c r="S44" s="116"/>
    </row>
    <row r="45" spans="1:20" ht="15.6" x14ac:dyDescent="0.3">
      <c r="A45" s="23"/>
      <c r="E45" s="221"/>
      <c r="F45" s="346" t="s">
        <v>309</v>
      </c>
      <c r="H45" s="347">
        <f>C44-H44</f>
        <v>-9089.5400000000045</v>
      </c>
      <c r="I45" s="51"/>
      <c r="P45" s="202"/>
      <c r="Q45" s="357"/>
      <c r="R45" s="440"/>
      <c r="S45" s="202"/>
    </row>
    <row r="46" spans="1:20" x14ac:dyDescent="0.25">
      <c r="A46" s="192"/>
      <c r="E46" s="221"/>
      <c r="F46" s="7" t="s">
        <v>310</v>
      </c>
      <c r="G46" s="7"/>
      <c r="H46" s="7"/>
      <c r="I46" s="231">
        <f>D44-I44</f>
        <v>13400.989999999998</v>
      </c>
      <c r="Q46" s="348"/>
    </row>
    <row r="47" spans="1:20" ht="13.8" thickBot="1" x14ac:dyDescent="0.3">
      <c r="A47" s="330"/>
      <c r="B47" s="331"/>
      <c r="C47" s="331"/>
      <c r="D47" s="331"/>
      <c r="E47" s="334"/>
      <c r="F47" s="331"/>
      <c r="G47" s="331"/>
      <c r="H47" s="331"/>
      <c r="I47" s="461"/>
      <c r="Q47" s="348"/>
    </row>
    <row r="48" spans="1:20" ht="14.4" thickTop="1" x14ac:dyDescent="0.25">
      <c r="A48" s="42"/>
      <c r="B48" s="1"/>
      <c r="C48" s="1"/>
      <c r="D48" s="1"/>
      <c r="E48" s="324"/>
      <c r="I48" s="51"/>
      <c r="Q48" s="348"/>
    </row>
    <row r="49" spans="1:17" ht="15" x14ac:dyDescent="0.25">
      <c r="A49" s="844" t="s">
        <v>200</v>
      </c>
      <c r="B49" s="845"/>
      <c r="C49" s="845"/>
      <c r="D49" s="845"/>
      <c r="E49" s="845"/>
      <c r="F49" s="845"/>
      <c r="G49" s="845"/>
      <c r="H49" s="845"/>
      <c r="I49" s="846"/>
      <c r="Q49" s="348"/>
    </row>
    <row r="50" spans="1:17" ht="13.8" x14ac:dyDescent="0.25">
      <c r="A50" s="337"/>
      <c r="B50" s="338"/>
      <c r="C50" s="338"/>
      <c r="D50" s="338"/>
      <c r="E50" s="324"/>
      <c r="I50" s="51"/>
      <c r="Q50" s="348"/>
    </row>
    <row r="51" spans="1:17" x14ac:dyDescent="0.25">
      <c r="A51" s="847" t="s">
        <v>201</v>
      </c>
      <c r="B51" s="848"/>
      <c r="C51" s="848"/>
      <c r="D51" s="848"/>
      <c r="E51" s="848"/>
      <c r="F51" s="848"/>
      <c r="G51" s="848"/>
      <c r="H51" s="848"/>
      <c r="I51" s="849"/>
      <c r="Q51" s="348"/>
    </row>
    <row r="52" spans="1:17" ht="14.4" thickBot="1" x14ac:dyDescent="0.3">
      <c r="A52" s="339"/>
      <c r="B52" s="340"/>
      <c r="C52" s="340"/>
      <c r="D52" s="340"/>
      <c r="E52" s="342"/>
      <c r="F52" s="215"/>
      <c r="G52" s="215"/>
      <c r="H52" s="215"/>
      <c r="I52" s="216"/>
      <c r="Q52" s="348"/>
    </row>
    <row r="53" spans="1:17" ht="13.8" x14ac:dyDescent="0.25">
      <c r="E53" s="324"/>
      <c r="Q53" s="348"/>
    </row>
  </sheetData>
  <mergeCells count="4">
    <mergeCell ref="A4:I4"/>
    <mergeCell ref="A27:I27"/>
    <mergeCell ref="A49:I49"/>
    <mergeCell ref="A51:I51"/>
  </mergeCells>
  <pageMargins left="0.7" right="0.7" top="0.75" bottom="0.75" header="0.3" footer="0.3"/>
  <pageSetup paperSize="9" orientation="portrait" horizontalDpi="360" verticalDpi="36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X54"/>
  <sheetViews>
    <sheetView topLeftCell="A7" workbookViewId="0">
      <selection activeCell="C18" sqref="C18"/>
    </sheetView>
  </sheetViews>
  <sheetFormatPr defaultRowHeight="13.2" x14ac:dyDescent="0.25"/>
  <cols>
    <col min="1" max="1" width="33.44140625" customWidth="1"/>
    <col min="2" max="2" width="6.33203125" customWidth="1"/>
    <col min="3" max="3" width="19.88671875" customWidth="1"/>
    <col min="4" max="4" width="14.88671875" customWidth="1"/>
    <col min="5" max="5" width="11.33203125" customWidth="1"/>
    <col min="6" max="6" width="1.33203125" customWidth="1"/>
    <col min="7" max="7" width="35" customWidth="1"/>
    <col min="8" max="8" width="3.6640625" customWidth="1"/>
    <col min="9" max="9" width="15.109375" customWidth="1"/>
    <col min="10" max="10" width="14.5546875" customWidth="1"/>
    <col min="11" max="11" width="11.33203125" customWidth="1"/>
    <col min="12" max="12" width="2.88671875" customWidth="1"/>
    <col min="13" max="13" width="3" customWidth="1"/>
    <col min="14" max="14" width="47.44140625" customWidth="1"/>
    <col min="15" max="15" width="14.88671875" customWidth="1"/>
    <col min="16" max="16" width="1.6640625" customWidth="1"/>
    <col min="17" max="17" width="35" customWidth="1"/>
    <col min="18" max="18" width="4.109375" style="348" customWidth="1"/>
    <col min="19" max="19" width="14.5546875" customWidth="1"/>
    <col min="20" max="20" width="14" customWidth="1"/>
  </cols>
  <sheetData>
    <row r="1" spans="1:24" ht="31.5" customHeight="1" thickBot="1" x14ac:dyDescent="0.35">
      <c r="A1" s="257" t="s">
        <v>168</v>
      </c>
      <c r="B1" s="258"/>
      <c r="C1" s="258"/>
      <c r="D1" s="258"/>
      <c r="E1" s="258"/>
      <c r="F1" s="259"/>
      <c r="G1" s="260"/>
      <c r="H1" s="260"/>
      <c r="I1" s="260"/>
      <c r="J1" s="260"/>
      <c r="K1" s="261"/>
    </row>
    <row r="2" spans="1:24" ht="21.6" thickBot="1" x14ac:dyDescent="0.45">
      <c r="A2" s="404" t="s">
        <v>202</v>
      </c>
      <c r="B2" s="262"/>
      <c r="C2" s="262"/>
      <c r="D2" s="82" t="s">
        <v>169</v>
      </c>
      <c r="E2" s="82"/>
      <c r="F2" s="263"/>
      <c r="G2" s="264"/>
      <c r="H2" s="264"/>
      <c r="I2" s="264"/>
      <c r="J2" s="265"/>
      <c r="K2" s="266"/>
      <c r="N2" s="404" t="s">
        <v>212</v>
      </c>
      <c r="O2" s="267"/>
      <c r="P2" s="267"/>
      <c r="Q2" s="267"/>
      <c r="R2" s="349"/>
      <c r="S2" s="268"/>
    </row>
    <row r="3" spans="1:24" ht="15.6" x14ac:dyDescent="0.3">
      <c r="A3" s="269"/>
      <c r="B3" s="270"/>
      <c r="C3" s="270"/>
      <c r="D3" s="270"/>
      <c r="E3" s="270"/>
      <c r="F3" s="271"/>
      <c r="G3" s="272"/>
      <c r="H3" s="272"/>
      <c r="I3" s="272"/>
      <c r="J3" s="272"/>
      <c r="K3" s="261"/>
      <c r="N3" s="273"/>
      <c r="O3" s="274"/>
      <c r="P3" s="275"/>
      <c r="Q3" s="276"/>
      <c r="R3" s="350"/>
      <c r="S3" s="277"/>
      <c r="T3" s="8" t="s">
        <v>170</v>
      </c>
    </row>
    <row r="4" spans="1:24" ht="15.6" x14ac:dyDescent="0.3">
      <c r="A4" s="838" t="s">
        <v>171</v>
      </c>
      <c r="B4" s="839"/>
      <c r="C4" s="839"/>
      <c r="D4" s="839"/>
      <c r="E4" s="839"/>
      <c r="F4" s="839"/>
      <c r="G4" s="839"/>
      <c r="H4" s="839"/>
      <c r="I4" s="839"/>
      <c r="J4" s="839"/>
      <c r="K4" s="840"/>
      <c r="N4" s="278"/>
      <c r="O4" s="276"/>
      <c r="P4" s="277"/>
      <c r="Q4" s="276"/>
      <c r="R4" s="350"/>
      <c r="S4" s="277"/>
      <c r="T4" s="8" t="s">
        <v>172</v>
      </c>
    </row>
    <row r="5" spans="1:24" ht="15.6" x14ac:dyDescent="0.3">
      <c r="A5" s="279" t="s">
        <v>173</v>
      </c>
      <c r="B5" s="6"/>
      <c r="C5" s="6"/>
      <c r="D5" s="6"/>
      <c r="E5" s="7"/>
      <c r="F5" s="4"/>
      <c r="G5" s="219" t="s">
        <v>174</v>
      </c>
      <c r="H5" s="219"/>
      <c r="I5" s="219"/>
      <c r="J5" s="219"/>
      <c r="K5" s="280"/>
      <c r="N5" s="281" t="s">
        <v>175</v>
      </c>
      <c r="O5" s="282"/>
      <c r="P5" s="283"/>
      <c r="Q5" s="282" t="s">
        <v>176</v>
      </c>
      <c r="R5" s="351"/>
      <c r="S5" s="277"/>
      <c r="T5" s="8" t="s">
        <v>177</v>
      </c>
    </row>
    <row r="6" spans="1:24" ht="15" x14ac:dyDescent="0.25">
      <c r="A6" s="192"/>
      <c r="B6" s="7"/>
      <c r="C6" s="284">
        <v>42735</v>
      </c>
      <c r="D6" s="220">
        <v>42369</v>
      </c>
      <c r="E6" s="220">
        <v>42004</v>
      </c>
      <c r="F6" s="4"/>
      <c r="G6" s="285"/>
      <c r="H6" s="285"/>
      <c r="I6" s="220">
        <v>42735</v>
      </c>
      <c r="J6" s="220">
        <v>42369</v>
      </c>
      <c r="K6" s="286">
        <v>42004</v>
      </c>
      <c r="N6" s="278"/>
      <c r="O6" s="287"/>
      <c r="P6" s="277"/>
      <c r="Q6" s="276"/>
      <c r="R6" s="350"/>
      <c r="S6" s="277"/>
      <c r="W6" s="116"/>
      <c r="X6" s="116"/>
    </row>
    <row r="7" spans="1:24" ht="15" x14ac:dyDescent="0.25">
      <c r="A7" s="192"/>
      <c r="B7" s="7"/>
      <c r="C7" s="7"/>
      <c r="E7" s="7"/>
      <c r="F7" s="4"/>
      <c r="G7" s="285"/>
      <c r="H7" s="285"/>
      <c r="I7" s="285"/>
      <c r="K7" s="191"/>
      <c r="N7" s="288" t="s">
        <v>70</v>
      </c>
      <c r="O7" s="289">
        <f>C8</f>
        <v>389.69</v>
      </c>
      <c r="P7" s="290"/>
      <c r="Q7" s="291" t="str">
        <f>'fin overz 31 dec 2016'!E16</f>
        <v>*Tuinwerkgroep</v>
      </c>
      <c r="R7" s="352">
        <f>'fin overz 31 dec 2016'!F16</f>
        <v>1</v>
      </c>
      <c r="S7" s="289">
        <f>'fin overz 31 dec 2016'!H16</f>
        <v>389.68999999999994</v>
      </c>
      <c r="W7" s="116"/>
      <c r="X7" s="116"/>
    </row>
    <row r="8" spans="1:24" ht="15" x14ac:dyDescent="0.25">
      <c r="A8" s="192" t="s">
        <v>213</v>
      </c>
      <c r="B8" s="7"/>
      <c r="C8" s="193">
        <f>'fin overz 31 dec 2016'!C16</f>
        <v>389.69</v>
      </c>
      <c r="D8" s="193">
        <f>'[2]begr res  15'!H32</f>
        <v>696.17</v>
      </c>
      <c r="F8" s="4"/>
      <c r="G8" s="343" t="s">
        <v>204</v>
      </c>
      <c r="H8" s="343"/>
      <c r="I8" s="343">
        <f>-SUM(I10:I20)+I23</f>
        <v>704.31000000000495</v>
      </c>
      <c r="J8" s="193">
        <f>-(SUM(J10:J16)-J23)</f>
        <v>-545.67000000000007</v>
      </c>
      <c r="K8" s="231">
        <f>-SUM(K10:K17)+K23</f>
        <v>158.26000000000022</v>
      </c>
      <c r="N8" s="288" t="s">
        <v>215</v>
      </c>
      <c r="O8" s="289">
        <f>C9</f>
        <v>14080.15</v>
      </c>
      <c r="P8" s="290"/>
      <c r="Q8" s="291" t="str">
        <f>'fin overz 31 dec 2016'!E17</f>
        <v xml:space="preserve">*Te besteden voor tuin </v>
      </c>
      <c r="R8" s="352">
        <f>'fin overz 31 dec 2016'!F17</f>
        <v>2</v>
      </c>
      <c r="S8" s="289">
        <f>'fin overz 31 dec 2016'!H17</f>
        <v>598.16999999999985</v>
      </c>
      <c r="W8" s="116"/>
      <c r="X8" s="116"/>
    </row>
    <row r="9" spans="1:24" ht="15" x14ac:dyDescent="0.25">
      <c r="A9" s="192" t="s">
        <v>178</v>
      </c>
      <c r="B9" s="7"/>
      <c r="C9" s="193">
        <f>'fin overz 31 dec 2016'!C17</f>
        <v>14080.15</v>
      </c>
      <c r="D9" s="193">
        <f>'[2]begr res  15'!H33</f>
        <v>5580.99</v>
      </c>
      <c r="F9" s="4"/>
      <c r="G9" s="221"/>
      <c r="H9" s="221"/>
      <c r="I9" s="221"/>
      <c r="K9" s="231"/>
      <c r="N9" s="288" t="s">
        <v>73</v>
      </c>
      <c r="O9" s="289">
        <f>C12</f>
        <v>7708.3099999999995</v>
      </c>
      <c r="P9" s="290"/>
      <c r="Q9" s="291" t="str">
        <f>'fin overz 31 dec 2016'!E18</f>
        <v>*Te besteden voor algemene publieksact.</v>
      </c>
      <c r="R9" s="352">
        <f>'fin overz 31 dec 2016'!F18</f>
        <v>3</v>
      </c>
      <c r="S9" s="289">
        <f>'fin overz 31 dec 2016'!H18</f>
        <v>0.63000000000022283</v>
      </c>
      <c r="W9" s="116"/>
      <c r="X9" s="116"/>
    </row>
    <row r="10" spans="1:24" ht="15" x14ac:dyDescent="0.25">
      <c r="A10" s="23" t="str">
        <f>'fin overz 31 dec 2016'!B18</f>
        <v>(1) verkoop 50 dingen boekje 445,-</v>
      </c>
      <c r="E10" s="193"/>
      <c r="F10" s="4"/>
      <c r="G10" s="221" t="s">
        <v>179</v>
      </c>
      <c r="H10" s="168">
        <f>'fin overz 31 dec 2016'!F16</f>
        <v>1</v>
      </c>
      <c r="I10" s="221">
        <f>'fin overz 31 dec 2016'!H16</f>
        <v>389.68999999999994</v>
      </c>
      <c r="J10" s="193">
        <f>'[2]begr res  15'!I11</f>
        <v>696.17</v>
      </c>
      <c r="K10" s="231">
        <v>692.38</v>
      </c>
      <c r="M10" s="116"/>
      <c r="N10" s="288" t="s">
        <v>216</v>
      </c>
      <c r="O10" s="289">
        <v>2000</v>
      </c>
      <c r="P10" s="290"/>
      <c r="Q10" s="291" t="str">
        <f>'fin overz 31 dec 2016'!E19</f>
        <v>*Reservering diversen</v>
      </c>
      <c r="R10" s="352">
        <f>'fin overz 31 dec 2016'!F19</f>
        <v>4</v>
      </c>
      <c r="S10" s="289">
        <f>'fin overz 31 dec 2016'!H19</f>
        <v>99.230000000000075</v>
      </c>
      <c r="W10" s="116"/>
      <c r="X10" s="116"/>
    </row>
    <row r="11" spans="1:24" ht="15" x14ac:dyDescent="0.25">
      <c r="A11" s="23"/>
      <c r="E11" s="193"/>
      <c r="F11" s="4"/>
      <c r="G11" s="221" t="s">
        <v>72</v>
      </c>
      <c r="H11" s="168">
        <f>'fin overz 31 dec 2016'!F17</f>
        <v>2</v>
      </c>
      <c r="I11" s="221">
        <f>'fin overz 31 dec 2016'!H17</f>
        <v>598.16999999999985</v>
      </c>
      <c r="J11" s="193">
        <f>'[2]begr res  15'!G12</f>
        <v>598.16999999999996</v>
      </c>
      <c r="K11" s="231">
        <v>780.78</v>
      </c>
      <c r="N11" s="288"/>
      <c r="O11" s="289"/>
      <c r="P11" s="290"/>
      <c r="Q11" s="291" t="str">
        <f>'fin overz 31 dec 2016'!E20</f>
        <v>*Te besteden voor tentoonstelling</v>
      </c>
      <c r="R11" s="352">
        <f>'fin overz 31 dec 2016'!F20</f>
        <v>5</v>
      </c>
      <c r="S11" s="289">
        <f>'fin overz 31 dec 2016'!H20</f>
        <v>2084</v>
      </c>
      <c r="W11" s="116"/>
      <c r="X11" s="116"/>
    </row>
    <row r="12" spans="1:24" ht="15" x14ac:dyDescent="0.25">
      <c r="A12" s="192" t="s">
        <v>73</v>
      </c>
      <c r="B12" s="7"/>
      <c r="C12" s="193">
        <f>'fin overz 31 dec 2016'!C20</f>
        <v>7708.3099999999995</v>
      </c>
      <c r="D12" s="193">
        <f>'[2]begr res  15'!H34</f>
        <v>2500</v>
      </c>
      <c r="E12" s="193"/>
      <c r="F12" s="4"/>
      <c r="G12" s="221" t="s">
        <v>74</v>
      </c>
      <c r="H12" s="168">
        <f>'fin overz 31 dec 2016'!F18</f>
        <v>3</v>
      </c>
      <c r="I12" s="221">
        <f>'fin overz 31 dec 2016'!H18</f>
        <v>0.63000000000022283</v>
      </c>
      <c r="J12" s="193">
        <f>'[2]begr res  15'!G13</f>
        <v>408.81</v>
      </c>
      <c r="K12" s="231">
        <v>767.14</v>
      </c>
      <c r="N12" s="288" t="s">
        <v>59</v>
      </c>
      <c r="O12" s="289">
        <v>5</v>
      </c>
      <c r="P12" s="290"/>
      <c r="Q12" s="291" t="str">
        <f>'fin overz 31 dec 2016'!E21</f>
        <v>*Te besteden herinrichting ruimte</v>
      </c>
      <c r="R12" s="352">
        <f>'fin overz 31 dec 2016'!F21</f>
        <v>6</v>
      </c>
      <c r="S12" s="289">
        <f>'fin overz 31 dec 2016'!H21</f>
        <v>100.1400000000001</v>
      </c>
      <c r="T12" s="116"/>
      <c r="W12" s="116"/>
      <c r="X12" s="116"/>
    </row>
    <row r="13" spans="1:24" ht="15" x14ac:dyDescent="0.25">
      <c r="A13" s="365" t="str">
        <f>'fin overz 31 dec 2016'!B21</f>
        <v>(2) inclusief 445,- verkoop totaal 8153,31</v>
      </c>
      <c r="B13" s="116"/>
      <c r="E13" s="193"/>
      <c r="F13" s="4"/>
      <c r="G13" s="221" t="s">
        <v>75</v>
      </c>
      <c r="H13" s="168">
        <f>'fin overz 31 dec 2016'!F19</f>
        <v>4</v>
      </c>
      <c r="I13" s="221">
        <f>'fin overz 31 dec 2016'!H19</f>
        <v>99.230000000000075</v>
      </c>
      <c r="J13" s="193">
        <f>'[2]begr res  15'!G14</f>
        <v>218.95</v>
      </c>
      <c r="K13" s="231">
        <v>320.95</v>
      </c>
      <c r="N13" s="288" t="s">
        <v>180</v>
      </c>
      <c r="O13" s="289">
        <v>50</v>
      </c>
      <c r="P13" s="290"/>
      <c r="Q13" s="291" t="str">
        <f>'fin overz 31 dec 2016'!E22</f>
        <v>*Te besteden 50 dingen boekje</v>
      </c>
      <c r="R13" s="352">
        <f>'fin overz 31 dec 2016'!F22</f>
        <v>7</v>
      </c>
      <c r="S13" s="289">
        <f>'fin overz 31 dec 2016'!H22</f>
        <v>8153.3099999999977</v>
      </c>
      <c r="U13" s="7"/>
      <c r="W13" s="116"/>
      <c r="X13" s="116"/>
    </row>
    <row r="14" spans="1:24" ht="15" x14ac:dyDescent="0.25">
      <c r="A14" s="23"/>
      <c r="F14" s="4"/>
      <c r="G14" s="221" t="s">
        <v>76</v>
      </c>
      <c r="H14" s="168">
        <f>'fin overz 31 dec 2016'!F20</f>
        <v>5</v>
      </c>
      <c r="I14" s="221">
        <f>'fin overz 31 dec 2016'!H20</f>
        <v>2084</v>
      </c>
      <c r="J14" s="193">
        <f>'[2]begr res  15'!G15</f>
        <v>2084</v>
      </c>
      <c r="K14" s="231">
        <v>2084</v>
      </c>
      <c r="N14" s="288" t="s">
        <v>214</v>
      </c>
      <c r="O14" s="289" t="s">
        <v>183</v>
      </c>
      <c r="P14" s="290"/>
      <c r="Q14" s="291" t="str">
        <f>'fin overz 31 dec 2016'!E23</f>
        <v>*Basisonderwijs/st. Ronde Venen fonds</v>
      </c>
      <c r="R14" s="352">
        <f>'fin overz 31 dec 2016'!F23</f>
        <v>8</v>
      </c>
      <c r="S14" s="289">
        <f>'fin overz 31 dec 2016'!H23</f>
        <v>0</v>
      </c>
      <c r="U14" s="7"/>
      <c r="W14" s="116"/>
      <c r="X14" s="116"/>
    </row>
    <row r="15" spans="1:24" ht="15" x14ac:dyDescent="0.25">
      <c r="A15" s="192" t="s">
        <v>181</v>
      </c>
      <c r="B15" s="7"/>
      <c r="C15" s="7"/>
      <c r="D15">
        <v>0</v>
      </c>
      <c r="E15" s="193">
        <v>4111.13</v>
      </c>
      <c r="F15" s="4"/>
      <c r="G15" s="221" t="s">
        <v>182</v>
      </c>
      <c r="H15" s="168">
        <f>'fin overz 31 dec 2016'!F21</f>
        <v>6</v>
      </c>
      <c r="I15" s="221">
        <f>'fin overz 31 dec 2016'!H21</f>
        <v>100.1400000000001</v>
      </c>
      <c r="J15" s="193">
        <f>'[2]begr res  15'!G16+'[2]begr res  15'!I16</f>
        <v>316.72999999999996</v>
      </c>
      <c r="K15" s="292"/>
      <c r="N15" s="288"/>
      <c r="O15" s="289"/>
      <c r="P15" s="290"/>
      <c r="Q15" s="291" t="str">
        <f>'fin overz 31 dec 2016'!E24</f>
        <v>*Stichting Doen/Oranjefonds</v>
      </c>
      <c r="R15" s="352">
        <f>'fin overz 31 dec 2016'!F24</f>
        <v>9</v>
      </c>
      <c r="S15" s="289">
        <f>'fin overz 31 dec 2016'!H24</f>
        <v>48.66</v>
      </c>
      <c r="U15" s="7"/>
      <c r="W15" s="116"/>
      <c r="X15" s="116"/>
    </row>
    <row r="16" spans="1:24" ht="15" x14ac:dyDescent="0.25">
      <c r="A16" s="192" t="s">
        <v>184</v>
      </c>
      <c r="B16" s="7"/>
      <c r="C16" s="7"/>
      <c r="D16">
        <v>0</v>
      </c>
      <c r="E16" s="193">
        <v>692.38</v>
      </c>
      <c r="F16" s="4"/>
      <c r="G16" s="221" t="s">
        <v>185</v>
      </c>
      <c r="H16" s="168">
        <f>'fin overz 31 dec 2016'!F22</f>
        <v>7</v>
      </c>
      <c r="I16" s="221">
        <f>'fin overz 31 dec 2016'!H22</f>
        <v>8153.3099999999977</v>
      </c>
      <c r="J16" s="116">
        <v>5000</v>
      </c>
      <c r="K16" s="231"/>
      <c r="N16" s="288"/>
      <c r="O16" s="289"/>
      <c r="P16" s="290"/>
      <c r="Q16" s="291" t="str">
        <f>'fin overz 31 dec 2016'!E25</f>
        <v>*Rotary Vinkeveen</v>
      </c>
      <c r="R16" s="352">
        <f>'fin overz 31 dec 2016'!F25</f>
        <v>10</v>
      </c>
      <c r="S16" s="289">
        <f>'fin overz 31 dec 2016'!H25-'fin overz 31 dec 2016'!G25</f>
        <v>9.9999999999909051E-3</v>
      </c>
      <c r="U16" s="7"/>
      <c r="W16" s="116"/>
      <c r="X16" s="116"/>
    </row>
    <row r="17" spans="1:20" ht="15" x14ac:dyDescent="0.25">
      <c r="A17" s="192"/>
      <c r="B17" s="7"/>
      <c r="C17" s="7"/>
      <c r="E17" s="193"/>
      <c r="F17" s="4"/>
      <c r="G17" s="221" t="str">
        <f>'fin overz 31 dec 2016'!E23</f>
        <v>*Basisonderwijs/st. Ronde Venen fonds</v>
      </c>
      <c r="H17" s="168">
        <f>'fin overz 31 dec 2016'!F23</f>
        <v>8</v>
      </c>
      <c r="I17" s="221">
        <f>'fin overz 31 dec 2016'!H23</f>
        <v>0</v>
      </c>
      <c r="J17" s="116"/>
      <c r="K17" s="231"/>
      <c r="N17" s="288"/>
      <c r="O17" s="289"/>
      <c r="P17" s="290"/>
      <c r="Q17" s="291" t="str">
        <f>'fin overz 31 dec 2016'!E26</f>
        <v>*25 jarig bestaan</v>
      </c>
      <c r="R17" s="352">
        <f>'fin overz 31 dec 2016'!F26</f>
        <v>11</v>
      </c>
      <c r="S17" s="289">
        <f>'fin overz 31 dec 2016'!H26</f>
        <v>10000</v>
      </c>
    </row>
    <row r="18" spans="1:20" ht="15" x14ac:dyDescent="0.25">
      <c r="A18" s="192"/>
      <c r="B18" s="7"/>
      <c r="C18" s="7"/>
      <c r="E18" s="193"/>
      <c r="F18" s="4"/>
      <c r="G18" s="221" t="str">
        <f>'fin overz 31 dec 2016'!E24</f>
        <v>*Stichting Doen/Oranjefonds</v>
      </c>
      <c r="H18" s="168">
        <f>'fin overz 31 dec 2016'!F24</f>
        <v>9</v>
      </c>
      <c r="I18" s="221">
        <f>'fin overz 31 dec 2016'!H24</f>
        <v>48.66</v>
      </c>
      <c r="K18" s="51"/>
      <c r="N18" s="288"/>
      <c r="O18" s="289"/>
      <c r="P18" s="290"/>
      <c r="Q18" s="403" t="s">
        <v>223</v>
      </c>
      <c r="R18" s="353">
        <v>13</v>
      </c>
      <c r="S18" s="289">
        <v>2000</v>
      </c>
    </row>
    <row r="19" spans="1:20" ht="15" x14ac:dyDescent="0.25">
      <c r="A19" s="192"/>
      <c r="B19" s="7"/>
      <c r="C19" s="7"/>
      <c r="E19" s="193"/>
      <c r="F19" s="4"/>
      <c r="G19" s="221" t="str">
        <f>'fin overz 31 dec 2016'!E25</f>
        <v>*Rotary Vinkeveen</v>
      </c>
      <c r="H19" s="168">
        <f>'fin overz 31 dec 2016'!F25</f>
        <v>10</v>
      </c>
      <c r="I19" s="221">
        <f>'fin overz 31 dec 2016'!H25-'fin overz 31 dec 2016'!G25</f>
        <v>9.9999999999909051E-3</v>
      </c>
      <c r="J19" s="116"/>
      <c r="K19" s="231"/>
      <c r="N19" s="288"/>
      <c r="O19" s="289"/>
      <c r="P19" s="290"/>
      <c r="Q19" s="294"/>
      <c r="R19" s="353"/>
      <c r="S19" s="255"/>
    </row>
    <row r="20" spans="1:20" ht="15" x14ac:dyDescent="0.25">
      <c r="A20" s="192"/>
      <c r="B20" s="7"/>
      <c r="C20" s="7"/>
      <c r="E20" s="193"/>
      <c r="F20" s="4"/>
      <c r="G20" s="221" t="str">
        <f>'fin overz 31 dec 2016'!E26</f>
        <v>*25 jarig bestaan</v>
      </c>
      <c r="H20" s="168">
        <f>'fin overz 31 dec 2016'!F26</f>
        <v>11</v>
      </c>
      <c r="I20" s="221">
        <f>'fin overz 31 dec 2016'!H26</f>
        <v>10000</v>
      </c>
      <c r="J20" s="116"/>
      <c r="K20" s="231"/>
      <c r="N20" s="288"/>
      <c r="O20" s="289"/>
      <c r="P20" s="290"/>
      <c r="Q20" s="294"/>
      <c r="R20" s="353"/>
      <c r="S20" s="290"/>
      <c r="T20" s="116"/>
    </row>
    <row r="21" spans="1:20" ht="15" x14ac:dyDescent="0.25">
      <c r="A21" s="192"/>
      <c r="B21" s="7"/>
      <c r="C21" s="7"/>
      <c r="E21" s="193"/>
      <c r="F21" s="4"/>
      <c r="G21" s="221"/>
      <c r="H21" s="221"/>
      <c r="I21" s="221"/>
      <c r="J21" s="116"/>
      <c r="K21" s="231"/>
      <c r="N21" s="288"/>
      <c r="O21" s="289"/>
      <c r="P21" s="290"/>
      <c r="Q21" s="403" t="s">
        <v>224</v>
      </c>
      <c r="R21" s="353"/>
      <c r="S21" s="255">
        <f>SUM(S7:S20)</f>
        <v>23473.839999999997</v>
      </c>
      <c r="T21" s="116"/>
    </row>
    <row r="22" spans="1:20" ht="15.75" customHeight="1" x14ac:dyDescent="0.25">
      <c r="A22" s="192"/>
      <c r="B22" s="7"/>
      <c r="C22" s="7"/>
      <c r="D22" s="295"/>
      <c r="E22" s="296"/>
      <c r="F22" s="297"/>
      <c r="G22" s="298"/>
      <c r="H22" s="298"/>
      <c r="I22" s="298"/>
      <c r="J22" s="295"/>
      <c r="K22" s="293"/>
      <c r="N22" s="288"/>
      <c r="O22" s="289"/>
      <c r="P22" s="290"/>
      <c r="Q22" s="291" t="s">
        <v>163</v>
      </c>
      <c r="R22" s="352"/>
      <c r="S22" s="255">
        <f>S23-S21</f>
        <v>759.31000000000495</v>
      </c>
      <c r="T22" s="116"/>
    </row>
    <row r="23" spans="1:20" ht="15" x14ac:dyDescent="0.25">
      <c r="A23" s="366" t="s">
        <v>205</v>
      </c>
      <c r="B23" s="299"/>
      <c r="C23" s="299">
        <f>SUM(C8:C22)</f>
        <v>22178.15</v>
      </c>
      <c r="D23" s="299">
        <f>SUM(D8:D22)</f>
        <v>8777.16</v>
      </c>
      <c r="E23" s="299">
        <f>SUM(E10:E16)</f>
        <v>4803.51</v>
      </c>
      <c r="F23" s="300"/>
      <c r="G23" s="301"/>
      <c r="H23" s="301"/>
      <c r="I23" s="299">
        <f>C23</f>
        <v>22178.15</v>
      </c>
      <c r="J23" s="302">
        <f>D23</f>
        <v>8777.16</v>
      </c>
      <c r="K23" s="303">
        <f>E23</f>
        <v>4803.51</v>
      </c>
      <c r="M23" s="116"/>
      <c r="N23" s="304" t="s">
        <v>79</v>
      </c>
      <c r="O23" s="305">
        <f>SUM(O7:O22)</f>
        <v>24233.15</v>
      </c>
      <c r="P23" s="306"/>
      <c r="Q23" s="307" t="s">
        <v>79</v>
      </c>
      <c r="R23" s="354"/>
      <c r="S23" s="308">
        <f>O23</f>
        <v>24233.15</v>
      </c>
    </row>
    <row r="24" spans="1:20" ht="15.6" thickBot="1" x14ac:dyDescent="0.3">
      <c r="A24" s="309"/>
      <c r="B24" s="310"/>
      <c r="C24" s="310"/>
      <c r="D24" s="215"/>
      <c r="E24" s="310"/>
      <c r="F24" s="311"/>
      <c r="G24" s="310"/>
      <c r="H24" s="310"/>
      <c r="I24" s="310"/>
      <c r="J24" s="312"/>
      <c r="K24" s="313"/>
      <c r="N24" s="314" t="s">
        <v>225</v>
      </c>
      <c r="O24" s="315"/>
      <c r="P24" s="316"/>
      <c r="Q24" s="317"/>
      <c r="R24" s="355"/>
      <c r="S24" s="318"/>
    </row>
    <row r="25" spans="1:20" ht="15.6" thickBot="1" x14ac:dyDescent="0.3">
      <c r="A25" s="309"/>
      <c r="B25" s="310"/>
      <c r="C25" s="310"/>
      <c r="D25" s="310"/>
      <c r="E25" s="310"/>
      <c r="F25" s="311"/>
      <c r="G25" s="310"/>
      <c r="H25" s="310"/>
      <c r="I25" s="310"/>
      <c r="J25" s="319"/>
      <c r="K25" s="313"/>
      <c r="N25" s="288"/>
    </row>
    <row r="26" spans="1:20" ht="15" x14ac:dyDescent="0.25">
      <c r="A26" s="189"/>
      <c r="B26" s="32"/>
      <c r="C26" s="32"/>
      <c r="D26" s="32"/>
      <c r="E26" s="270"/>
      <c r="F26" s="271"/>
      <c r="G26" s="270"/>
      <c r="H26" s="270"/>
      <c r="I26" s="270"/>
      <c r="J26" s="270"/>
      <c r="K26" s="320"/>
      <c r="N26" s="288" t="s">
        <v>186</v>
      </c>
    </row>
    <row r="27" spans="1:20" ht="15.6" x14ac:dyDescent="0.3">
      <c r="A27" s="838" t="s">
        <v>187</v>
      </c>
      <c r="B27" s="839"/>
      <c r="C27" s="839"/>
      <c r="D27" s="839"/>
      <c r="E27" s="839"/>
      <c r="F27" s="839"/>
      <c r="G27" s="839"/>
      <c r="H27" s="839"/>
      <c r="I27" s="839"/>
      <c r="J27" s="839"/>
      <c r="K27" s="840"/>
      <c r="N27" t="s">
        <v>188</v>
      </c>
    </row>
    <row r="28" spans="1:20" ht="17.399999999999999" x14ac:dyDescent="0.3">
      <c r="A28" s="321" t="s">
        <v>175</v>
      </c>
      <c r="B28" s="322"/>
      <c r="C28" s="322"/>
      <c r="D28" s="322"/>
      <c r="E28" s="323"/>
      <c r="F28" s="324"/>
      <c r="G28" s="219" t="s">
        <v>176</v>
      </c>
      <c r="H28" s="219"/>
      <c r="I28" s="219"/>
      <c r="J28" s="219"/>
      <c r="K28" s="325"/>
    </row>
    <row r="29" spans="1:20" x14ac:dyDescent="0.25">
      <c r="A29" s="23"/>
      <c r="C29">
        <v>2016</v>
      </c>
      <c r="D29">
        <v>2015</v>
      </c>
      <c r="E29" s="326">
        <v>2014</v>
      </c>
      <c r="F29" s="224"/>
      <c r="I29">
        <v>2016</v>
      </c>
      <c r="J29">
        <v>2015</v>
      </c>
      <c r="K29" s="327">
        <v>2014</v>
      </c>
    </row>
    <row r="30" spans="1:20" ht="13.8" x14ac:dyDescent="0.25">
      <c r="A30" s="42"/>
      <c r="B30" s="1"/>
      <c r="C30" s="1"/>
      <c r="E30" s="1"/>
      <c r="G30" s="7" t="s">
        <v>210</v>
      </c>
      <c r="H30" s="1">
        <f>'fin overz 31 dec 2016'!F16</f>
        <v>1</v>
      </c>
      <c r="I30" s="345">
        <f>-'fin overz 31 dec 2016'!I16</f>
        <v>308.64999999999998</v>
      </c>
      <c r="J30" s="193">
        <f>-'[2]begr res  15'!H12</f>
        <v>182.61</v>
      </c>
      <c r="K30" s="231"/>
      <c r="P30" s="116"/>
      <c r="Q30" s="116"/>
      <c r="S30" s="116"/>
      <c r="T30" s="116"/>
    </row>
    <row r="31" spans="1:20" x14ac:dyDescent="0.25">
      <c r="A31" s="192" t="s">
        <v>194</v>
      </c>
      <c r="B31" s="7" t="s">
        <v>206</v>
      </c>
      <c r="C31" s="193">
        <f>'project 2016'!F11+'project 2016'!F52</f>
        <v>9.9499999999999993</v>
      </c>
      <c r="D31" s="193">
        <v>3.79</v>
      </c>
      <c r="E31" s="193">
        <v>8.84</v>
      </c>
      <c r="F31" s="7"/>
      <c r="G31" s="7" t="s">
        <v>191</v>
      </c>
      <c r="H31" s="7">
        <f>'fin overz 31 dec 2016'!F18</f>
        <v>3</v>
      </c>
      <c r="I31" s="193">
        <f>-'fin overz 31 dec 2016'!I18</f>
        <v>408.18</v>
      </c>
      <c r="J31" s="193">
        <f>-'[2]begr res  15'!H13</f>
        <v>358.33</v>
      </c>
      <c r="K31" s="231">
        <v>296.99</v>
      </c>
      <c r="P31" s="116"/>
      <c r="Q31" s="116"/>
      <c r="S31" s="116"/>
      <c r="T31" s="116"/>
    </row>
    <row r="32" spans="1:20" x14ac:dyDescent="0.25">
      <c r="A32" s="25" t="str">
        <f>'project 2016'!C85</f>
        <v>Subsidie Pr.Bernh.Cult.Fonds</v>
      </c>
      <c r="B32">
        <v>6</v>
      </c>
      <c r="C32" s="116">
        <f>'fin overz 31 dec 2016'!J21</f>
        <v>1250</v>
      </c>
      <c r="F32" s="7"/>
      <c r="G32" s="7" t="s">
        <v>211</v>
      </c>
      <c r="H32" s="7">
        <f>'fin overz 31 dec 2016'!F19</f>
        <v>4</v>
      </c>
      <c r="I32" s="193">
        <f>-'project 2016'!F66</f>
        <v>127.50000000000003</v>
      </c>
      <c r="J32" s="193">
        <f>-'[2]begr res  15'!H14</f>
        <v>102</v>
      </c>
      <c r="K32" s="231">
        <v>136.15</v>
      </c>
      <c r="L32" s="221"/>
      <c r="M32" s="193"/>
      <c r="P32" s="116"/>
      <c r="Q32" s="116"/>
      <c r="S32" s="116"/>
      <c r="T32" s="116"/>
    </row>
    <row r="33" spans="1:20" x14ac:dyDescent="0.25">
      <c r="A33" s="192" t="s">
        <v>207</v>
      </c>
      <c r="B33">
        <v>7</v>
      </c>
      <c r="C33" s="116">
        <f>'fin overz 31 dec 2016'!J22</f>
        <v>20395</v>
      </c>
      <c r="F33" s="7"/>
      <c r="G33" s="7" t="str">
        <f>'project 2016'!C89</f>
        <v>Creamore</v>
      </c>
      <c r="H33" s="7">
        <f>'fin overz 31 dec 2016'!F21</f>
        <v>6</v>
      </c>
      <c r="I33" s="193">
        <f>-'project 2016'!F89</f>
        <v>216.59</v>
      </c>
      <c r="J33" s="193">
        <f>-'[2]begr res  15'!H16</f>
        <v>387.2</v>
      </c>
      <c r="K33" s="231">
        <v>3035.07</v>
      </c>
      <c r="L33" s="221"/>
      <c r="M33" s="193"/>
      <c r="P33" s="116"/>
      <c r="Q33" s="193"/>
      <c r="R33" s="356"/>
      <c r="S33" s="116"/>
      <c r="T33" s="116"/>
    </row>
    <row r="34" spans="1:20" x14ac:dyDescent="0.25">
      <c r="A34" s="344" t="str">
        <f>'project 2016'!C129</f>
        <v>Donatie St. De Ronde Venen</v>
      </c>
      <c r="B34">
        <v>8</v>
      </c>
      <c r="C34" s="116">
        <f>'fin overz 31 dec 2016'!J23</f>
        <v>1500</v>
      </c>
      <c r="E34">
        <v>1000</v>
      </c>
      <c r="F34" s="7"/>
      <c r="G34" s="7" t="s">
        <v>83</v>
      </c>
      <c r="H34">
        <v>7</v>
      </c>
      <c r="I34" s="116">
        <f>-'project 2016'!F119</f>
        <v>17241.690000000002</v>
      </c>
      <c r="K34" s="51"/>
      <c r="L34" s="221"/>
      <c r="M34" s="193"/>
      <c r="P34" s="116"/>
      <c r="Q34" s="116"/>
      <c r="S34" s="116"/>
      <c r="T34" s="116"/>
    </row>
    <row r="35" spans="1:20" x14ac:dyDescent="0.25">
      <c r="A35" s="344" t="str">
        <f>'project 2016'!C139</f>
        <v>Donatie Oranje Fonds</v>
      </c>
      <c r="B35">
        <v>9</v>
      </c>
      <c r="C35" s="116">
        <f>'fin overz 31 dec 2016'!J24</f>
        <v>200</v>
      </c>
      <c r="F35" s="221"/>
      <c r="G35" s="284" t="str">
        <f>'project 2016'!C132</f>
        <v>stimuler.bijdr NME ODRU</v>
      </c>
      <c r="H35">
        <v>8</v>
      </c>
      <c r="I35" s="116">
        <f>-'project 2016'!F132</f>
        <v>1500</v>
      </c>
      <c r="K35" s="51"/>
      <c r="L35" s="221"/>
      <c r="M35" s="193"/>
      <c r="P35" s="116"/>
      <c r="Q35" s="116"/>
      <c r="S35" s="116"/>
      <c r="T35" s="116"/>
    </row>
    <row r="36" spans="1:20" x14ac:dyDescent="0.25">
      <c r="A36" s="344" t="str">
        <f>'project 2016'!C147</f>
        <v>Donatie Rotary Vinkenveen</v>
      </c>
      <c r="B36">
        <v>10</v>
      </c>
      <c r="C36" s="116">
        <f>'fin overz 31 dec 2016'!J25</f>
        <v>300</v>
      </c>
      <c r="D36" s="193"/>
      <c r="E36" s="193"/>
      <c r="F36" s="221"/>
      <c r="G36" s="284" t="str">
        <f>'project 2016'!C140</f>
        <v>Div kosten/ decl Overgaag</v>
      </c>
      <c r="H36">
        <v>9</v>
      </c>
      <c r="I36" s="193">
        <f>-'project 2016'!F140</f>
        <v>151.34</v>
      </c>
      <c r="K36" s="51"/>
      <c r="L36" s="221"/>
      <c r="M36" s="193"/>
      <c r="P36" s="116"/>
      <c r="Q36" s="116"/>
      <c r="S36" s="116"/>
      <c r="T36" s="116"/>
    </row>
    <row r="37" spans="1:20" x14ac:dyDescent="0.25">
      <c r="A37" s="344" t="str">
        <f>'project 2016'!C159</f>
        <v>Donatie Johnson 10 jarig bestaan</v>
      </c>
      <c r="B37">
        <v>11</v>
      </c>
      <c r="C37" s="116">
        <f>'fin overz 31 dec 2016'!J26</f>
        <v>10000</v>
      </c>
      <c r="E37" s="193"/>
      <c r="G37" s="284" t="str">
        <f>'project 2016'!C150</f>
        <v>bijdrage leskist water,etc, ODRU</v>
      </c>
      <c r="H37">
        <v>10</v>
      </c>
      <c r="I37" s="116">
        <f>-'project 2016'!F150</f>
        <v>300.01</v>
      </c>
      <c r="K37" s="231"/>
      <c r="N37" s="7"/>
      <c r="P37" s="116"/>
      <c r="Q37" s="116"/>
      <c r="S37" s="116"/>
      <c r="T37" s="116"/>
    </row>
    <row r="38" spans="1:20" x14ac:dyDescent="0.25">
      <c r="A38" s="192" t="s">
        <v>196</v>
      </c>
      <c r="B38" s="7"/>
      <c r="C38" s="7"/>
      <c r="D38" s="193">
        <v>5000</v>
      </c>
      <c r="F38" s="221"/>
      <c r="G38" s="7" t="s">
        <v>190</v>
      </c>
      <c r="H38" s="7"/>
      <c r="I38" s="7"/>
      <c r="J38" s="193"/>
      <c r="K38" s="231">
        <v>548.76</v>
      </c>
      <c r="N38" s="7"/>
      <c r="P38" s="116"/>
      <c r="Q38" s="7"/>
      <c r="R38" s="356"/>
      <c r="S38" s="116"/>
      <c r="T38" s="116"/>
    </row>
    <row r="39" spans="1:20" x14ac:dyDescent="0.25">
      <c r="A39" s="192" t="s">
        <v>189</v>
      </c>
      <c r="B39" s="7"/>
      <c r="C39" s="7"/>
      <c r="D39" s="193"/>
      <c r="E39" s="193">
        <v>145</v>
      </c>
      <c r="F39" s="221"/>
      <c r="G39" s="7" t="s">
        <v>195</v>
      </c>
      <c r="H39" s="7"/>
      <c r="I39" s="7"/>
      <c r="J39" s="193"/>
      <c r="K39" s="231">
        <v>42.9</v>
      </c>
      <c r="N39" s="7"/>
      <c r="P39" s="116"/>
      <c r="Q39" s="116"/>
      <c r="S39" s="116"/>
      <c r="T39" s="116"/>
    </row>
    <row r="40" spans="1:20" x14ac:dyDescent="0.25">
      <c r="A40" s="192" t="s">
        <v>192</v>
      </c>
      <c r="B40" s="7"/>
      <c r="C40" s="7"/>
      <c r="D40" s="193"/>
      <c r="E40" s="193">
        <v>1084</v>
      </c>
      <c r="F40" s="221"/>
      <c r="K40" s="51"/>
      <c r="N40" s="7"/>
      <c r="P40" s="116"/>
      <c r="Q40" s="116"/>
      <c r="S40" s="193"/>
      <c r="T40" s="193"/>
    </row>
    <row r="41" spans="1:20" x14ac:dyDescent="0.25">
      <c r="A41" s="192" t="s">
        <v>193</v>
      </c>
      <c r="B41" s="7"/>
      <c r="C41" s="7"/>
      <c r="D41" s="193"/>
      <c r="E41" s="193">
        <v>2490</v>
      </c>
      <c r="F41" s="221"/>
      <c r="J41" s="193"/>
      <c r="K41" s="231"/>
      <c r="Q41" s="116"/>
      <c r="S41" s="193"/>
    </row>
    <row r="42" spans="1:20" x14ac:dyDescent="0.25">
      <c r="A42" s="23"/>
      <c r="F42" s="221"/>
      <c r="K42" s="51"/>
      <c r="Q42" s="116"/>
      <c r="S42" s="193"/>
    </row>
    <row r="43" spans="1:20" x14ac:dyDescent="0.25">
      <c r="A43" s="360" t="s">
        <v>219</v>
      </c>
      <c r="B43" s="361"/>
      <c r="C43" s="362">
        <f>SUM(C31:C42)</f>
        <v>33654.949999999997</v>
      </c>
      <c r="D43" s="363">
        <f>SUM(D31:D42)</f>
        <v>5003.79</v>
      </c>
      <c r="E43" s="363">
        <f>SUM(E31:E42)</f>
        <v>4727.84</v>
      </c>
      <c r="F43" s="329"/>
      <c r="G43" s="361" t="s">
        <v>218</v>
      </c>
      <c r="H43" s="361"/>
      <c r="I43" s="362">
        <f>SUM(I30:I41)</f>
        <v>20253.96</v>
      </c>
      <c r="J43" s="363">
        <f>SUM(J30:J41)</f>
        <v>1030.1400000000001</v>
      </c>
      <c r="K43" s="364">
        <f>SUM(K30:K41)</f>
        <v>4059.8700000000003</v>
      </c>
      <c r="Q43" s="116"/>
      <c r="S43" s="116"/>
    </row>
    <row r="44" spans="1:20" ht="15.6" x14ac:dyDescent="0.3">
      <c r="A44" s="23"/>
      <c r="F44" s="221"/>
      <c r="K44" s="51"/>
      <c r="Q44" s="202"/>
      <c r="R44" s="357"/>
      <c r="S44" s="202"/>
    </row>
    <row r="45" spans="1:20" ht="15.6" x14ac:dyDescent="0.3">
      <c r="A45" s="192" t="s">
        <v>208</v>
      </c>
      <c r="F45" s="221"/>
      <c r="G45" s="346" t="s">
        <v>197</v>
      </c>
      <c r="H45" s="346"/>
      <c r="I45" s="347">
        <f>C43-I43</f>
        <v>13400.989999999998</v>
      </c>
      <c r="K45" s="51"/>
    </row>
    <row r="46" spans="1:20" x14ac:dyDescent="0.25">
      <c r="A46" s="192"/>
      <c r="B46" s="7"/>
      <c r="C46" s="7"/>
      <c r="D46" s="193"/>
      <c r="E46" s="193"/>
      <c r="F46" s="221"/>
      <c r="G46" s="7" t="s">
        <v>198</v>
      </c>
      <c r="H46" s="328"/>
      <c r="I46" s="328"/>
      <c r="J46" s="193">
        <f>D43-J43</f>
        <v>3973.6499999999996</v>
      </c>
      <c r="K46" s="231"/>
      <c r="L46" s="184"/>
    </row>
    <row r="47" spans="1:20" x14ac:dyDescent="0.25">
      <c r="A47" s="23"/>
      <c r="B47" s="7"/>
      <c r="C47" s="7"/>
      <c r="F47" s="221"/>
      <c r="G47" t="s">
        <v>199</v>
      </c>
      <c r="J47" s="193"/>
      <c r="K47" s="231">
        <f>E43-K43</f>
        <v>667.9699999999998</v>
      </c>
      <c r="L47" s="116"/>
    </row>
    <row r="48" spans="1:20" ht="13.8" thickBot="1" x14ac:dyDescent="0.3">
      <c r="A48" s="330"/>
      <c r="B48" s="331"/>
      <c r="C48" s="331"/>
      <c r="D48" s="332"/>
      <c r="E48" s="333"/>
      <c r="F48" s="334"/>
      <c r="G48" s="331"/>
      <c r="H48" s="331"/>
      <c r="I48" s="331"/>
      <c r="J48" s="332"/>
      <c r="K48" s="335"/>
    </row>
    <row r="49" spans="1:11" ht="14.4" thickTop="1" x14ac:dyDescent="0.25">
      <c r="A49" s="42"/>
      <c r="B49" s="1"/>
      <c r="C49" s="1"/>
      <c r="D49" s="1"/>
      <c r="F49" s="324"/>
      <c r="K49" s="336"/>
    </row>
    <row r="50" spans="1:11" ht="15" x14ac:dyDescent="0.25">
      <c r="A50" s="844" t="s">
        <v>200</v>
      </c>
      <c r="B50" s="845"/>
      <c r="C50" s="845"/>
      <c r="D50" s="845"/>
      <c r="E50" s="845"/>
      <c r="F50" s="845"/>
      <c r="G50" s="845"/>
      <c r="H50" s="845"/>
      <c r="I50" s="845"/>
      <c r="J50" s="845"/>
      <c r="K50" s="846"/>
    </row>
    <row r="51" spans="1:11" ht="13.8" x14ac:dyDescent="0.25">
      <c r="A51" s="337"/>
      <c r="B51" s="338"/>
      <c r="C51" s="338"/>
      <c r="D51" s="338"/>
      <c r="E51" s="1"/>
      <c r="F51" s="324"/>
      <c r="K51" s="336"/>
    </row>
    <row r="52" spans="1:11" x14ac:dyDescent="0.25">
      <c r="A52" s="847" t="s">
        <v>201</v>
      </c>
      <c r="B52" s="848"/>
      <c r="C52" s="848"/>
      <c r="D52" s="848"/>
      <c r="E52" s="848"/>
      <c r="F52" s="848"/>
      <c r="G52" s="848"/>
      <c r="H52" s="848"/>
      <c r="I52" s="848"/>
      <c r="J52" s="848"/>
      <c r="K52" s="849"/>
    </row>
    <row r="53" spans="1:11" ht="14.4" thickBot="1" x14ac:dyDescent="0.3">
      <c r="A53" s="339"/>
      <c r="B53" s="340"/>
      <c r="C53" s="340"/>
      <c r="D53" s="340"/>
      <c r="E53" s="341"/>
      <c r="F53" s="342"/>
      <c r="G53" s="215"/>
      <c r="H53" s="215"/>
      <c r="I53" s="215"/>
      <c r="J53" s="215"/>
      <c r="K53" s="216"/>
    </row>
    <row r="54" spans="1:11" ht="13.8" x14ac:dyDescent="0.25">
      <c r="F54" s="324"/>
    </row>
  </sheetData>
  <mergeCells count="4">
    <mergeCell ref="A4:K4"/>
    <mergeCell ref="A27:K27"/>
    <mergeCell ref="A50:K50"/>
    <mergeCell ref="A52:K52"/>
  </mergeCells>
  <pageMargins left="0.7" right="0.7" top="0.75" bottom="0.75" header="0.3" footer="0.3"/>
  <pageSetup paperSize="9" orientation="portrait" horizontalDpi="360" verticalDpi="36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B4:O54"/>
  <sheetViews>
    <sheetView topLeftCell="C11" workbookViewId="0">
      <selection activeCell="I32" sqref="I32"/>
    </sheetView>
  </sheetViews>
  <sheetFormatPr defaultRowHeight="13.2" x14ac:dyDescent="0.25"/>
  <cols>
    <col min="1" max="1" width="13.6640625" customWidth="1"/>
    <col min="2" max="2" width="40.33203125" customWidth="1"/>
    <col min="3" max="3" width="14.6640625" customWidth="1"/>
    <col min="4" max="4" width="1.6640625" customWidth="1"/>
    <col min="5" max="5" width="35" customWidth="1"/>
    <col min="6" max="6" width="4.109375" customWidth="1"/>
    <col min="7" max="7" width="14.6640625" customWidth="1"/>
    <col min="8" max="8" width="15.44140625" customWidth="1"/>
    <col min="9" max="9" width="16.6640625" customWidth="1"/>
    <col min="10" max="10" width="14.5546875" bestFit="1" customWidth="1"/>
    <col min="11" max="11" width="13.109375" bestFit="1" customWidth="1"/>
    <col min="12" max="12" width="26.88671875" customWidth="1"/>
    <col min="13" max="13" width="28" customWidth="1"/>
    <col min="14" max="14" width="13.44140625" customWidth="1"/>
  </cols>
  <sheetData>
    <row r="4" spans="2:15" ht="30" x14ac:dyDescent="0.5">
      <c r="B4" s="222" t="s">
        <v>142</v>
      </c>
    </row>
    <row r="7" spans="2:15" ht="21" x14ac:dyDescent="0.4">
      <c r="B7" s="150" t="s">
        <v>158</v>
      </c>
      <c r="C7" s="250">
        <v>42735</v>
      </c>
    </row>
    <row r="8" spans="2:15" x14ac:dyDescent="0.25">
      <c r="E8" s="116">
        <f>SUM(C17:C18)</f>
        <v>14080.15</v>
      </c>
    </row>
    <row r="9" spans="2:15" x14ac:dyDescent="0.25">
      <c r="K9" s="116"/>
    </row>
    <row r="10" spans="2:15" x14ac:dyDescent="0.25">
      <c r="I10" s="116"/>
      <c r="K10" s="116"/>
      <c r="L10" s="116"/>
    </row>
    <row r="11" spans="2:15" ht="13.8" thickBot="1" x14ac:dyDescent="0.3">
      <c r="B11" s="328"/>
      <c r="C11" s="367"/>
    </row>
    <row r="12" spans="2:15" x14ac:dyDescent="0.25">
      <c r="B12" s="189"/>
      <c r="C12" s="190"/>
      <c r="D12" s="32"/>
      <c r="E12" s="189"/>
      <c r="F12" s="32"/>
      <c r="G12" s="32" t="s">
        <v>159</v>
      </c>
      <c r="H12" s="190" t="s">
        <v>159</v>
      </c>
      <c r="I12" s="32" t="s">
        <v>161</v>
      </c>
      <c r="J12" s="190" t="s">
        <v>161</v>
      </c>
      <c r="K12" s="233"/>
      <c r="L12" s="32"/>
      <c r="M12" s="190"/>
      <c r="O12" s="7"/>
    </row>
    <row r="13" spans="2:15" x14ac:dyDescent="0.25">
      <c r="B13" s="23"/>
      <c r="C13" s="51"/>
      <c r="E13" s="23"/>
      <c r="G13" s="247">
        <f>C7</f>
        <v>42735</v>
      </c>
      <c r="H13" s="240">
        <f>C7</f>
        <v>42735</v>
      </c>
      <c r="I13" s="247">
        <f>C7</f>
        <v>42735</v>
      </c>
      <c r="J13" s="248">
        <f>C7</f>
        <v>42735</v>
      </c>
      <c r="K13" s="234">
        <v>42369</v>
      </c>
      <c r="M13" s="191"/>
    </row>
    <row r="14" spans="2:15" x14ac:dyDescent="0.25">
      <c r="B14" s="197" t="s">
        <v>162</v>
      </c>
      <c r="C14" s="51"/>
      <c r="E14" s="197" t="s">
        <v>99</v>
      </c>
      <c r="F14" s="7"/>
      <c r="G14" s="7" t="s">
        <v>102</v>
      </c>
      <c r="H14" s="241" t="s">
        <v>160</v>
      </c>
      <c r="I14" s="7" t="s">
        <v>101</v>
      </c>
      <c r="J14" s="191" t="s">
        <v>100</v>
      </c>
      <c r="K14" s="235" t="s">
        <v>84</v>
      </c>
      <c r="L14" s="7" t="s">
        <v>105</v>
      </c>
      <c r="M14" s="51"/>
    </row>
    <row r="15" spans="2:15" x14ac:dyDescent="0.25">
      <c r="B15" s="249">
        <f>C7</f>
        <v>42735</v>
      </c>
      <c r="C15" s="51"/>
      <c r="E15" s="246">
        <f>C7</f>
        <v>42735</v>
      </c>
      <c r="H15" s="51"/>
      <c r="J15" s="51"/>
      <c r="K15" s="236"/>
      <c r="L15" s="7"/>
      <c r="M15" s="51"/>
    </row>
    <row r="16" spans="2:15" x14ac:dyDescent="0.25">
      <c r="B16" s="23" t="s">
        <v>70</v>
      </c>
      <c r="C16" s="229">
        <v>389.69</v>
      </c>
      <c r="E16" s="23" t="s">
        <v>203</v>
      </c>
      <c r="F16">
        <v>1</v>
      </c>
      <c r="G16" s="116">
        <v>0</v>
      </c>
      <c r="H16" s="229">
        <f>J16+K16+I16</f>
        <v>389.68999999999994</v>
      </c>
      <c r="I16" s="116">
        <f>'project 2016'!F12</f>
        <v>-308.64999999999998</v>
      </c>
      <c r="J16" s="229">
        <f>'project 2016'!F11</f>
        <v>2.17</v>
      </c>
      <c r="K16" s="237">
        <f>'project 2016'!F9</f>
        <v>696.17</v>
      </c>
      <c r="L16" s="193" t="s">
        <v>132</v>
      </c>
      <c r="M16" s="194"/>
      <c r="N16" s="116"/>
    </row>
    <row r="17" spans="2:14" x14ac:dyDescent="0.25">
      <c r="B17" s="23" t="s">
        <v>71</v>
      </c>
      <c r="C17" s="252">
        <v>14080.15</v>
      </c>
      <c r="E17" s="23" t="s">
        <v>72</v>
      </c>
      <c r="F17">
        <v>2</v>
      </c>
      <c r="G17" s="116">
        <f>K17+J17-I17-H17</f>
        <v>0</v>
      </c>
      <c r="H17" s="252">
        <f t="shared" ref="H17:H26" si="0">J17+K17+I17</f>
        <v>598.16999999999985</v>
      </c>
      <c r="I17" s="116">
        <f>'project 2016'!F22</f>
        <v>0</v>
      </c>
      <c r="J17" s="194">
        <v>0</v>
      </c>
      <c r="K17" s="237">
        <f>'project 2016'!F20</f>
        <v>598.16999999999985</v>
      </c>
      <c r="L17" s="193" t="s">
        <v>106</v>
      </c>
      <c r="M17" s="194"/>
      <c r="N17" s="116"/>
    </row>
    <row r="18" spans="2:14" x14ac:dyDescent="0.25">
      <c r="B18" s="23" t="s">
        <v>167</v>
      </c>
      <c r="E18" s="23" t="s">
        <v>74</v>
      </c>
      <c r="F18">
        <v>3</v>
      </c>
      <c r="G18" s="116">
        <f>K18+J18+I18-H18</f>
        <v>0</v>
      </c>
      <c r="H18" s="252">
        <f t="shared" si="0"/>
        <v>0.63000000000022283</v>
      </c>
      <c r="I18" s="116">
        <f>'project 2016'!F33+'project 2016'!F34</f>
        <v>-408.18</v>
      </c>
      <c r="J18" s="194">
        <v>0</v>
      </c>
      <c r="K18" s="237">
        <f>'project 2016'!F31</f>
        <v>408.81000000000023</v>
      </c>
      <c r="L18" s="116"/>
      <c r="M18" s="51"/>
      <c r="N18" s="116"/>
    </row>
    <row r="19" spans="2:14" x14ac:dyDescent="0.25">
      <c r="B19" s="23"/>
      <c r="C19" s="194"/>
      <c r="E19" s="23" t="s">
        <v>75</v>
      </c>
      <c r="F19">
        <v>4</v>
      </c>
      <c r="G19" s="116"/>
      <c r="H19" s="252">
        <f t="shared" si="0"/>
        <v>99.230000000000075</v>
      </c>
      <c r="I19" s="193">
        <f>'project 2016'!F66</f>
        <v>-127.50000000000003</v>
      </c>
      <c r="J19" s="245">
        <v>7.78</v>
      </c>
      <c r="K19" s="237">
        <f>'project 2016'!F50</f>
        <v>218.9500000000001</v>
      </c>
      <c r="L19" s="193" t="s">
        <v>134</v>
      </c>
      <c r="M19" s="51"/>
      <c r="N19" s="116"/>
    </row>
    <row r="20" spans="2:14" x14ac:dyDescent="0.25">
      <c r="B20" s="23" t="s">
        <v>165</v>
      </c>
      <c r="C20" s="252">
        <f>7088.58+950-225-105.27</f>
        <v>7708.3099999999995</v>
      </c>
      <c r="E20" s="23" t="s">
        <v>76</v>
      </c>
      <c r="F20">
        <v>5</v>
      </c>
      <c r="G20" s="116">
        <f>K20+J20-I20-H20</f>
        <v>0</v>
      </c>
      <c r="H20" s="252">
        <f t="shared" si="0"/>
        <v>2084</v>
      </c>
      <c r="I20" s="116">
        <f>'project 2016'!F77</f>
        <v>0</v>
      </c>
      <c r="J20" s="194">
        <v>0</v>
      </c>
      <c r="K20" s="237">
        <f>'project 2016'!F75</f>
        <v>2084</v>
      </c>
      <c r="L20" s="116"/>
      <c r="M20" s="51"/>
      <c r="N20" s="116"/>
    </row>
    <row r="21" spans="2:14" x14ac:dyDescent="0.25">
      <c r="B21" s="256" t="s">
        <v>166</v>
      </c>
      <c r="C21" s="194"/>
      <c r="E21" s="23" t="s">
        <v>77</v>
      </c>
      <c r="F21">
        <v>6</v>
      </c>
      <c r="G21" s="116"/>
      <c r="H21" s="252">
        <f>SUM(I21:K21)</f>
        <v>100.1400000000001</v>
      </c>
      <c r="I21" s="116">
        <f>'project 2016'!F89</f>
        <v>-216.59</v>
      </c>
      <c r="J21" s="229">
        <f>'project 2016'!F85</f>
        <v>1250</v>
      </c>
      <c r="K21" s="244">
        <f>'project 2016'!F83</f>
        <v>-933.27</v>
      </c>
      <c r="L21" s="193" t="s">
        <v>133</v>
      </c>
      <c r="M21" s="194"/>
      <c r="N21" s="116"/>
    </row>
    <row r="22" spans="2:14" x14ac:dyDescent="0.25">
      <c r="B22" s="192"/>
      <c r="C22" s="194"/>
      <c r="E22" s="23" t="s">
        <v>78</v>
      </c>
      <c r="F22">
        <v>7</v>
      </c>
      <c r="G22" s="116"/>
      <c r="H22" s="253">
        <f t="shared" si="0"/>
        <v>8153.3099999999977</v>
      </c>
      <c r="I22" s="116">
        <f>'project 2016'!F119</f>
        <v>-17241.690000000002</v>
      </c>
      <c r="J22" s="229">
        <f>'project 2016'!F105+'project 2016'!F120+'project 2016'!F121</f>
        <v>20395</v>
      </c>
      <c r="K22" s="237">
        <f>'project 2016'!F98</f>
        <v>5000</v>
      </c>
      <c r="L22" s="193" t="s">
        <v>148</v>
      </c>
      <c r="M22" s="51"/>
      <c r="N22" s="116"/>
    </row>
    <row r="23" spans="2:14" x14ac:dyDescent="0.25">
      <c r="B23" s="192"/>
      <c r="C23" s="194"/>
      <c r="E23" s="192" t="s">
        <v>107</v>
      </c>
      <c r="F23">
        <v>8</v>
      </c>
      <c r="G23" s="116">
        <f>SUM(H23:K23)</f>
        <v>0</v>
      </c>
      <c r="H23" s="252">
        <f t="shared" si="0"/>
        <v>0</v>
      </c>
      <c r="I23" s="116">
        <f>'project 2016'!F132</f>
        <v>-1500</v>
      </c>
      <c r="J23" s="229">
        <f>'project 2016'!F129</f>
        <v>1500</v>
      </c>
      <c r="K23" s="238">
        <f>'project 2016'!F127</f>
        <v>0</v>
      </c>
      <c r="L23" s="193"/>
      <c r="M23" s="51"/>
      <c r="N23" s="116"/>
    </row>
    <row r="24" spans="2:14" x14ac:dyDescent="0.25">
      <c r="B24" s="23"/>
      <c r="C24" s="194"/>
      <c r="E24" s="192" t="s">
        <v>104</v>
      </c>
      <c r="F24">
        <v>9</v>
      </c>
      <c r="G24" s="116"/>
      <c r="H24" s="252">
        <f t="shared" si="0"/>
        <v>48.66</v>
      </c>
      <c r="I24" s="7">
        <f>-151.34</f>
        <v>-151.34</v>
      </c>
      <c r="J24" s="229">
        <f>'project 2016'!F139</f>
        <v>200</v>
      </c>
      <c r="K24" s="238">
        <f>'project 2016'!F137</f>
        <v>0</v>
      </c>
      <c r="L24" s="116"/>
      <c r="M24" s="51"/>
      <c r="N24" s="116"/>
    </row>
    <row r="25" spans="2:14" x14ac:dyDescent="0.25">
      <c r="B25" s="23"/>
      <c r="C25" s="194"/>
      <c r="E25" s="192" t="s">
        <v>103</v>
      </c>
      <c r="F25">
        <v>10</v>
      </c>
      <c r="G25" s="116">
        <f>I25+J25</f>
        <v>-9.9999999999909051E-3</v>
      </c>
      <c r="H25" s="252"/>
      <c r="I25" s="116">
        <f>'project 2016'!F150</f>
        <v>-300.01</v>
      </c>
      <c r="J25" s="229">
        <v>300</v>
      </c>
      <c r="K25" s="238">
        <f>'project 2016'!F145</f>
        <v>0</v>
      </c>
      <c r="L25" s="193" t="s">
        <v>221</v>
      </c>
      <c r="M25" s="51"/>
      <c r="N25" s="116"/>
    </row>
    <row r="26" spans="2:14" x14ac:dyDescent="0.25">
      <c r="B26" s="23"/>
      <c r="C26" s="194"/>
      <c r="E26" s="192" t="s">
        <v>121</v>
      </c>
      <c r="F26">
        <v>11</v>
      </c>
      <c r="G26" s="116"/>
      <c r="H26" s="252">
        <f t="shared" si="0"/>
        <v>10000</v>
      </c>
      <c r="I26" s="116"/>
      <c r="J26" s="230">
        <f>10000</f>
        <v>10000</v>
      </c>
      <c r="K26" s="238"/>
      <c r="L26" s="116"/>
      <c r="M26" s="51"/>
      <c r="N26" s="116"/>
    </row>
    <row r="27" spans="2:14" x14ac:dyDescent="0.25">
      <c r="B27" s="23"/>
      <c r="C27" s="194"/>
      <c r="E27" s="192"/>
      <c r="G27" s="116"/>
      <c r="H27" s="194"/>
      <c r="I27" s="116"/>
      <c r="J27" s="231"/>
      <c r="K27" s="238"/>
      <c r="L27" s="116"/>
      <c r="M27" s="51"/>
      <c r="N27" s="116"/>
    </row>
    <row r="28" spans="2:14" x14ac:dyDescent="0.25">
      <c r="B28" s="23"/>
      <c r="C28" s="194"/>
      <c r="E28" s="192" t="s">
        <v>149</v>
      </c>
      <c r="G28" s="116"/>
      <c r="H28" s="194"/>
      <c r="I28" s="116"/>
      <c r="J28" s="231"/>
      <c r="K28" s="244">
        <f>-545.67+1250</f>
        <v>704.33</v>
      </c>
      <c r="L28" s="116"/>
      <c r="M28" s="194"/>
      <c r="N28" s="116"/>
    </row>
    <row r="29" spans="2:14" ht="13.8" thickBot="1" x14ac:dyDescent="0.3">
      <c r="B29" s="23"/>
      <c r="C29" s="194"/>
      <c r="E29" s="232" t="s">
        <v>163</v>
      </c>
      <c r="F29" s="171">
        <v>12</v>
      </c>
      <c r="G29" s="218">
        <f>G30+G25</f>
        <v>704.31000000000336</v>
      </c>
      <c r="H29" s="194"/>
      <c r="I29" s="116"/>
      <c r="J29" s="194"/>
      <c r="K29" s="238"/>
      <c r="L29" s="116"/>
      <c r="M29" s="51"/>
    </row>
    <row r="30" spans="2:14" ht="16.2" thickBot="1" x14ac:dyDescent="0.35">
      <c r="B30" s="185" t="s">
        <v>98</v>
      </c>
      <c r="C30" s="254">
        <f>SUM(C16:C29)</f>
        <v>22178.15</v>
      </c>
      <c r="D30" s="187"/>
      <c r="E30" s="185" t="s">
        <v>79</v>
      </c>
      <c r="F30" s="187"/>
      <c r="G30" s="186">
        <f>C30-H30</f>
        <v>704.32000000000335</v>
      </c>
      <c r="H30" s="188">
        <f>SUM(H15:H29)</f>
        <v>21473.829999999998</v>
      </c>
      <c r="I30" s="186">
        <f>SUM(I16:I29)</f>
        <v>-20253.96</v>
      </c>
      <c r="J30" s="188">
        <f>SUM(J16:J29)</f>
        <v>33654.949999999997</v>
      </c>
      <c r="K30" s="239">
        <f>SUM(K15:K29)</f>
        <v>8777.16</v>
      </c>
      <c r="L30" s="195"/>
      <c r="M30" s="196"/>
      <c r="N30" s="116"/>
    </row>
    <row r="31" spans="2:14" x14ac:dyDescent="0.25">
      <c r="C31" s="116"/>
      <c r="G31" s="193"/>
      <c r="H31" s="116"/>
      <c r="I31" s="116"/>
      <c r="J31" s="116"/>
      <c r="K31" s="116"/>
      <c r="L31" s="116"/>
      <c r="M31" s="116"/>
    </row>
    <row r="32" spans="2:14" x14ac:dyDescent="0.25">
      <c r="C32" s="116"/>
      <c r="E32" s="116"/>
      <c r="G32" s="193">
        <f>SUM(G30:H30)</f>
        <v>22178.15</v>
      </c>
      <c r="H32" s="193"/>
      <c r="I32" s="116">
        <f>SUM(I30:K30)</f>
        <v>22178.149999999998</v>
      </c>
      <c r="J32" s="116"/>
      <c r="K32" s="116"/>
      <c r="L32" s="116"/>
      <c r="N32" s="116"/>
    </row>
    <row r="33" spans="2:12" x14ac:dyDescent="0.25">
      <c r="C33" s="116"/>
      <c r="E33" s="116"/>
      <c r="G33" s="116"/>
      <c r="H33" s="116"/>
      <c r="I33" s="116"/>
      <c r="J33" s="116">
        <f>J30+I30</f>
        <v>13400.989999999998</v>
      </c>
      <c r="K33" s="243"/>
      <c r="L33" s="116"/>
    </row>
    <row r="34" spans="2:12" x14ac:dyDescent="0.25">
      <c r="B34" s="7"/>
      <c r="C34" s="116"/>
      <c r="E34" s="116"/>
      <c r="G34" s="116"/>
      <c r="H34" s="116"/>
      <c r="I34" s="116"/>
      <c r="L34" s="116"/>
    </row>
    <row r="35" spans="2:12" x14ac:dyDescent="0.25">
      <c r="E35" s="116"/>
      <c r="I35" s="116"/>
    </row>
    <row r="36" spans="2:12" x14ac:dyDescent="0.25">
      <c r="C36" s="116"/>
      <c r="I36" s="116"/>
    </row>
    <row r="38" spans="2:12" ht="13.8" x14ac:dyDescent="0.25">
      <c r="B38" s="116"/>
      <c r="C38" s="116"/>
      <c r="E38" s="116"/>
      <c r="I38" s="219"/>
    </row>
    <row r="39" spans="2:12" x14ac:dyDescent="0.25">
      <c r="I39" s="220"/>
    </row>
    <row r="40" spans="2:12" x14ac:dyDescent="0.25">
      <c r="E40" s="116"/>
      <c r="I40" s="193"/>
      <c r="L40" s="193"/>
    </row>
    <row r="41" spans="2:12" x14ac:dyDescent="0.25">
      <c r="I41" s="193"/>
      <c r="L41" s="193"/>
    </row>
    <row r="42" spans="2:12" x14ac:dyDescent="0.25">
      <c r="I42" s="193"/>
      <c r="L42" s="193"/>
    </row>
    <row r="43" spans="2:12" x14ac:dyDescent="0.25">
      <c r="I43" s="193"/>
      <c r="L43" s="193"/>
    </row>
    <row r="44" spans="2:12" x14ac:dyDescent="0.25">
      <c r="H44" s="7"/>
      <c r="I44" s="193"/>
      <c r="K44" s="242"/>
      <c r="L44" s="193"/>
    </row>
    <row r="45" spans="2:12" x14ac:dyDescent="0.25">
      <c r="H45" s="7"/>
      <c r="I45" s="193"/>
      <c r="K45" s="221"/>
      <c r="L45" s="193"/>
    </row>
    <row r="46" spans="2:12" x14ac:dyDescent="0.25">
      <c r="H46" s="7"/>
      <c r="I46" s="193"/>
      <c r="K46" s="7"/>
      <c r="L46" s="193"/>
    </row>
    <row r="47" spans="2:12" x14ac:dyDescent="0.25">
      <c r="H47" s="7"/>
      <c r="I47" s="193"/>
      <c r="K47" s="7"/>
      <c r="L47" s="193"/>
    </row>
    <row r="48" spans="2:12" x14ac:dyDescent="0.25">
      <c r="H48" s="7"/>
      <c r="I48" s="193"/>
      <c r="K48" s="221"/>
      <c r="L48" s="193"/>
    </row>
    <row r="49" spans="8:12" x14ac:dyDescent="0.25">
      <c r="H49" s="7"/>
      <c r="I49" s="193"/>
    </row>
    <row r="50" spans="8:12" x14ac:dyDescent="0.25">
      <c r="H50" s="7"/>
      <c r="I50" s="193"/>
      <c r="K50" s="221"/>
      <c r="L50" s="116"/>
    </row>
    <row r="51" spans="8:12" x14ac:dyDescent="0.25">
      <c r="H51" s="7"/>
      <c r="I51" s="193"/>
      <c r="K51" s="7"/>
      <c r="L51" s="116"/>
    </row>
    <row r="52" spans="8:12" x14ac:dyDescent="0.25">
      <c r="H52" s="7"/>
      <c r="I52" s="193"/>
      <c r="L52" s="116"/>
    </row>
    <row r="53" spans="8:12" x14ac:dyDescent="0.25">
      <c r="H53" s="7"/>
    </row>
    <row r="54" spans="8:12" x14ac:dyDescent="0.25">
      <c r="H54" s="7"/>
    </row>
  </sheetData>
  <phoneticPr fontId="0" type="noConversion"/>
  <pageMargins left="0.75" right="0.75" top="1" bottom="1" header="0.5" footer="0.5"/>
  <pageSetup paperSize="9" scale="60" orientation="landscape" horizontalDpi="360" verticalDpi="36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1:M172"/>
  <sheetViews>
    <sheetView topLeftCell="A118" workbookViewId="0">
      <selection activeCell="H134" sqref="H134"/>
    </sheetView>
  </sheetViews>
  <sheetFormatPr defaultRowHeight="13.2" x14ac:dyDescent="0.25"/>
  <cols>
    <col min="2" max="2" width="14.88671875" bestFit="1" customWidth="1"/>
    <col min="3" max="3" width="11.88671875" bestFit="1" customWidth="1"/>
    <col min="4" max="4" width="13.44140625" customWidth="1"/>
    <col min="5" max="5" width="17.6640625" customWidth="1"/>
    <col min="6" max="6" width="17.6640625" bestFit="1" customWidth="1"/>
    <col min="7" max="7" width="3.88671875" customWidth="1"/>
    <col min="8" max="8" width="17.109375" customWidth="1"/>
    <col min="9" max="9" width="50.5546875" customWidth="1"/>
    <col min="10" max="10" width="16.88671875" customWidth="1"/>
    <col min="11" max="11" width="12.33203125" customWidth="1"/>
    <col min="12" max="12" width="14" customWidth="1"/>
  </cols>
  <sheetData>
    <row r="1" spans="2:10" ht="21" x14ac:dyDescent="0.4">
      <c r="B1" s="150" t="s">
        <v>69</v>
      </c>
    </row>
    <row r="2" spans="2:10" ht="18" customHeight="1" x14ac:dyDescent="0.3">
      <c r="B2" s="250">
        <f>'fin overz 31 dec 2016'!C7</f>
        <v>42735</v>
      </c>
    </row>
    <row r="3" spans="2:10" hidden="1" x14ac:dyDescent="0.25"/>
    <row r="4" spans="2:10" ht="13.8" thickBot="1" x14ac:dyDescent="0.3"/>
    <row r="5" spans="2:10" ht="13.8" thickBot="1" x14ac:dyDescent="0.3">
      <c r="B5" s="368" t="s">
        <v>130</v>
      </c>
      <c r="C5" s="369"/>
      <c r="D5" s="370"/>
    </row>
    <row r="6" spans="2:10" ht="15.75" customHeight="1" x14ac:dyDescent="0.3">
      <c r="B6" s="223" t="s">
        <v>1</v>
      </c>
      <c r="C6" s="376"/>
      <c r="D6" s="376"/>
      <c r="E6" s="199" t="s">
        <v>110</v>
      </c>
      <c r="F6" s="153" t="s">
        <v>129</v>
      </c>
    </row>
    <row r="7" spans="2:10" ht="15.6" hidden="1" x14ac:dyDescent="0.3">
      <c r="B7" s="377">
        <v>42004</v>
      </c>
      <c r="C7" s="170" t="s">
        <v>2</v>
      </c>
      <c r="D7" s="168"/>
      <c r="E7" s="168"/>
      <c r="F7" s="172">
        <v>692.38</v>
      </c>
    </row>
    <row r="8" spans="2:10" ht="15.6" hidden="1" x14ac:dyDescent="0.3">
      <c r="B8" s="108"/>
      <c r="C8" s="96" t="s">
        <v>50</v>
      </c>
      <c r="D8" s="95"/>
      <c r="E8" s="95"/>
      <c r="F8" s="104">
        <v>3.79</v>
      </c>
    </row>
    <row r="9" spans="2:10" ht="15.6" x14ac:dyDescent="0.3">
      <c r="B9" s="108"/>
      <c r="C9" s="96" t="s">
        <v>61</v>
      </c>
      <c r="D9" s="95"/>
      <c r="E9" s="95"/>
      <c r="F9" s="104">
        <f>SUM(F7:F8)</f>
        <v>696.17</v>
      </c>
      <c r="J9" s="116"/>
    </row>
    <row r="10" spans="2:10" ht="15.6" x14ac:dyDescent="0.3">
      <c r="B10" s="159"/>
      <c r="C10" s="154" t="s">
        <v>80</v>
      </c>
      <c r="D10" s="155"/>
      <c r="E10" s="155"/>
      <c r="F10" s="160"/>
      <c r="H10" s="7"/>
      <c r="J10" s="116"/>
    </row>
    <row r="11" spans="2:10" ht="15.6" x14ac:dyDescent="0.3">
      <c r="B11" s="159"/>
      <c r="C11" s="154" t="s">
        <v>63</v>
      </c>
      <c r="D11" s="155"/>
      <c r="E11" s="155"/>
      <c r="F11" s="160">
        <v>2.17</v>
      </c>
      <c r="J11" s="116"/>
    </row>
    <row r="12" spans="2:10" ht="15.6" x14ac:dyDescent="0.3">
      <c r="B12" s="159">
        <v>42612</v>
      </c>
      <c r="C12" s="154" t="s">
        <v>126</v>
      </c>
      <c r="D12" s="155"/>
      <c r="E12" s="155"/>
      <c r="F12" s="160">
        <f>-308.65</f>
        <v>-308.64999999999998</v>
      </c>
    </row>
    <row r="13" spans="2:10" ht="17.399999999999999" x14ac:dyDescent="0.3">
      <c r="B13" s="378">
        <f>B2</f>
        <v>42735</v>
      </c>
      <c r="C13" s="228" t="s">
        <v>2</v>
      </c>
      <c r="D13" s="226"/>
      <c r="E13" s="168"/>
      <c r="F13" s="172">
        <f>F9+F11+F12</f>
        <v>389.68999999999994</v>
      </c>
      <c r="H13" s="7"/>
      <c r="J13" s="7"/>
    </row>
    <row r="14" spans="2:10" ht="16.2" thickBot="1" x14ac:dyDescent="0.35">
      <c r="B14" s="161"/>
      <c r="C14" s="143"/>
      <c r="D14" s="162"/>
      <c r="E14" s="162"/>
      <c r="F14" s="163"/>
    </row>
    <row r="15" spans="2:10" ht="11.25" customHeight="1" thickBot="1" x14ac:dyDescent="0.3"/>
    <row r="16" spans="2:10" hidden="1" x14ac:dyDescent="0.25"/>
    <row r="17" spans="2:12" ht="15.6" x14ac:dyDescent="0.3">
      <c r="B17" s="379" t="s">
        <v>108</v>
      </c>
      <c r="C17" s="156"/>
      <c r="D17" s="157"/>
      <c r="E17" s="199" t="s">
        <v>109</v>
      </c>
      <c r="F17" s="158"/>
    </row>
    <row r="18" spans="2:12" ht="1.5" customHeight="1" x14ac:dyDescent="0.3">
      <c r="B18" s="380">
        <v>42004</v>
      </c>
      <c r="C18" s="170" t="s">
        <v>2</v>
      </c>
      <c r="D18" s="226"/>
      <c r="E18" s="226"/>
      <c r="F18" s="381">
        <v>780.77999999999986</v>
      </c>
    </row>
    <row r="19" spans="2:12" ht="15.6" hidden="1" x14ac:dyDescent="0.3">
      <c r="B19" s="108">
        <v>42109</v>
      </c>
      <c r="C19" s="96" t="s">
        <v>51</v>
      </c>
      <c r="D19" s="107"/>
      <c r="E19" s="107"/>
      <c r="F19" s="109">
        <v>-182.61</v>
      </c>
    </row>
    <row r="20" spans="2:12" ht="15.6" x14ac:dyDescent="0.3">
      <c r="B20" s="108"/>
      <c r="C20" s="96" t="s">
        <v>61</v>
      </c>
      <c r="D20" s="107"/>
      <c r="E20" s="107"/>
      <c r="F20" s="109">
        <v>598.16999999999985</v>
      </c>
    </row>
    <row r="21" spans="2:12" ht="15.6" x14ac:dyDescent="0.3">
      <c r="B21" s="121"/>
      <c r="C21" s="122" t="s">
        <v>81</v>
      </c>
      <c r="D21" s="123"/>
      <c r="E21" s="123"/>
      <c r="F21" s="124"/>
      <c r="K21" s="116"/>
      <c r="L21" s="116"/>
    </row>
    <row r="22" spans="2:12" ht="15.6" x14ac:dyDescent="0.3">
      <c r="B22" s="121"/>
      <c r="C22" s="122" t="s">
        <v>82</v>
      </c>
      <c r="D22" s="123"/>
      <c r="E22" s="123"/>
      <c r="F22" s="124">
        <v>0</v>
      </c>
      <c r="K22" s="116"/>
      <c r="L22" s="116"/>
    </row>
    <row r="23" spans="2:12" ht="17.399999999999999" x14ac:dyDescent="0.3">
      <c r="B23" s="378">
        <f>B2</f>
        <v>42735</v>
      </c>
      <c r="C23" s="228" t="str">
        <f>C13</f>
        <v>Saldo</v>
      </c>
      <c r="D23" s="168"/>
      <c r="E23" s="168"/>
      <c r="F23" s="172">
        <v>598.16999999999985</v>
      </c>
      <c r="G23" s="7"/>
      <c r="K23" s="116"/>
      <c r="L23" s="116"/>
    </row>
    <row r="24" spans="2:12" ht="16.2" thickBot="1" x14ac:dyDescent="0.35">
      <c r="B24" s="125"/>
      <c r="C24" s="126"/>
      <c r="D24" s="127"/>
      <c r="E24" s="127"/>
      <c r="F24" s="128"/>
      <c r="K24" s="116"/>
      <c r="L24" s="116"/>
    </row>
    <row r="25" spans="2:12" ht="18.75" customHeight="1" x14ac:dyDescent="0.3">
      <c r="B25" s="9"/>
      <c r="C25" s="8"/>
      <c r="F25" s="10"/>
      <c r="K25" s="116"/>
      <c r="L25" s="116"/>
    </row>
    <row r="26" spans="2:12" ht="1.5" customHeight="1" thickBot="1" x14ac:dyDescent="0.35">
      <c r="B26" s="9"/>
      <c r="C26" s="8"/>
      <c r="F26" s="10"/>
      <c r="K26" s="116"/>
      <c r="L26" s="116"/>
    </row>
    <row r="27" spans="2:12" ht="15.6" x14ac:dyDescent="0.3">
      <c r="B27" s="223" t="s">
        <v>0</v>
      </c>
      <c r="C27" s="376"/>
      <c r="D27" s="376"/>
      <c r="E27" s="198" t="s">
        <v>111</v>
      </c>
      <c r="F27" s="153"/>
      <c r="I27" s="7"/>
      <c r="K27" s="116"/>
      <c r="L27" s="116"/>
    </row>
    <row r="28" spans="2:12" ht="1.5" customHeight="1" x14ac:dyDescent="0.3">
      <c r="B28" s="169">
        <v>42004</v>
      </c>
      <c r="C28" s="170" t="s">
        <v>2</v>
      </c>
      <c r="D28" s="170"/>
      <c r="E28" s="170"/>
      <c r="F28" s="172">
        <v>767.14000000000021</v>
      </c>
      <c r="I28" s="7"/>
      <c r="K28" s="116"/>
      <c r="L28" s="116"/>
    </row>
    <row r="29" spans="2:12" ht="15.6" hidden="1" x14ac:dyDescent="0.3">
      <c r="B29" s="111">
        <v>42278</v>
      </c>
      <c r="C29" s="96" t="s">
        <v>55</v>
      </c>
      <c r="D29" s="96"/>
      <c r="E29" s="96"/>
      <c r="F29" s="104">
        <v>-289.38</v>
      </c>
      <c r="I29" s="7"/>
      <c r="K29" s="116"/>
      <c r="L29" s="116"/>
    </row>
    <row r="30" spans="2:12" ht="15.6" hidden="1" x14ac:dyDescent="0.3">
      <c r="B30" s="111">
        <v>42307</v>
      </c>
      <c r="C30" s="96" t="s">
        <v>58</v>
      </c>
      <c r="D30" s="96"/>
      <c r="E30" s="96"/>
      <c r="F30" s="104">
        <v>-68.95</v>
      </c>
      <c r="I30" s="7"/>
      <c r="K30" s="116"/>
      <c r="L30" s="116"/>
    </row>
    <row r="31" spans="2:12" ht="15.6" x14ac:dyDescent="0.3">
      <c r="B31" s="111"/>
      <c r="C31" s="96" t="s">
        <v>61</v>
      </c>
      <c r="D31" s="96"/>
      <c r="E31" s="96"/>
      <c r="F31" s="104">
        <v>408.81000000000023</v>
      </c>
      <c r="I31" s="7"/>
      <c r="K31" s="116"/>
      <c r="L31" s="116"/>
    </row>
    <row r="32" spans="2:12" ht="15.6" x14ac:dyDescent="0.3">
      <c r="B32" s="121"/>
      <c r="C32" s="122" t="s">
        <v>81</v>
      </c>
      <c r="D32" s="123"/>
      <c r="E32" s="123"/>
      <c r="F32" s="124"/>
    </row>
    <row r="33" spans="2:8" ht="15.6" x14ac:dyDescent="0.3">
      <c r="B33" s="121">
        <v>42696</v>
      </c>
      <c r="C33" s="122" t="s">
        <v>144</v>
      </c>
      <c r="D33" s="123"/>
      <c r="E33" s="123"/>
      <c r="F33" s="124">
        <v>-293.68</v>
      </c>
    </row>
    <row r="34" spans="2:8" ht="15.6" x14ac:dyDescent="0.3">
      <c r="B34" s="121">
        <v>42697</v>
      </c>
      <c r="C34" s="122" t="s">
        <v>145</v>
      </c>
      <c r="D34" s="123"/>
      <c r="E34" s="123"/>
      <c r="F34" s="124">
        <v>-114.5</v>
      </c>
      <c r="H34" s="116"/>
    </row>
    <row r="35" spans="2:8" ht="17.399999999999999" x14ac:dyDescent="0.3">
      <c r="B35" s="378">
        <f>B23</f>
        <v>42735</v>
      </c>
      <c r="C35" s="228" t="str">
        <f>C23</f>
        <v>Saldo</v>
      </c>
      <c r="D35" s="168"/>
      <c r="E35" s="168"/>
      <c r="F35" s="172">
        <f>SUM(F31:F34)</f>
        <v>0.63000000000022283</v>
      </c>
      <c r="G35" s="7"/>
    </row>
    <row r="36" spans="2:8" ht="16.2" thickBot="1" x14ac:dyDescent="0.35">
      <c r="B36" s="125"/>
      <c r="C36" s="126"/>
      <c r="D36" s="127"/>
      <c r="E36" s="127"/>
      <c r="F36" s="128"/>
    </row>
    <row r="37" spans="2:8" ht="9" customHeight="1" thickBot="1" x14ac:dyDescent="0.35">
      <c r="B37" s="13"/>
      <c r="C37" s="8"/>
      <c r="D37" s="8"/>
      <c r="E37" s="8"/>
      <c r="F37" s="8"/>
    </row>
    <row r="38" spans="2:8" ht="15" hidden="1" x14ac:dyDescent="0.25">
      <c r="B38" s="13"/>
      <c r="C38" s="12"/>
      <c r="D38" s="12"/>
      <c r="E38" s="12"/>
      <c r="F38" s="14"/>
    </row>
    <row r="39" spans="2:8" ht="15.6" x14ac:dyDescent="0.3">
      <c r="B39" s="382" t="s">
        <v>39</v>
      </c>
      <c r="C39" s="156"/>
      <c r="D39" s="156"/>
      <c r="E39" s="199" t="s">
        <v>112</v>
      </c>
      <c r="F39" s="383"/>
    </row>
    <row r="40" spans="2:8" ht="2.25" customHeight="1" x14ac:dyDescent="0.3">
      <c r="B40" s="169">
        <v>42004</v>
      </c>
      <c r="C40" s="170" t="s">
        <v>2</v>
      </c>
      <c r="D40" s="170"/>
      <c r="E40" s="170"/>
      <c r="F40" s="172">
        <v>320.95000000000005</v>
      </c>
    </row>
    <row r="41" spans="2:8" ht="15.6" hidden="1" x14ac:dyDescent="0.3">
      <c r="B41" s="113"/>
      <c r="C41" s="96" t="s">
        <v>54</v>
      </c>
      <c r="D41" s="96"/>
      <c r="E41" s="96"/>
      <c r="F41" s="104">
        <v>-15.2</v>
      </c>
    </row>
    <row r="42" spans="2:8" ht="15.6" hidden="1" x14ac:dyDescent="0.3">
      <c r="B42" s="113"/>
      <c r="C42" s="96" t="s">
        <v>56</v>
      </c>
      <c r="D42" s="96"/>
      <c r="E42" s="96"/>
      <c r="F42" s="104">
        <v>-11.9</v>
      </c>
    </row>
    <row r="43" spans="2:8" ht="15.6" hidden="1" x14ac:dyDescent="0.3">
      <c r="B43" s="105">
        <v>42186</v>
      </c>
      <c r="C43" s="96"/>
      <c r="D43" s="96"/>
      <c r="E43" s="96"/>
      <c r="F43" s="104">
        <v>-23.15</v>
      </c>
    </row>
    <row r="44" spans="2:8" ht="15.6" hidden="1" x14ac:dyDescent="0.3">
      <c r="B44" s="105">
        <v>42217</v>
      </c>
      <c r="C44" s="96"/>
      <c r="D44" s="96"/>
      <c r="E44" s="96"/>
      <c r="F44" s="104">
        <v>-10.35</v>
      </c>
    </row>
    <row r="45" spans="2:8" ht="15.6" hidden="1" x14ac:dyDescent="0.3">
      <c r="B45" s="105">
        <v>42248</v>
      </c>
      <c r="C45" s="96"/>
      <c r="D45" s="96"/>
      <c r="E45" s="96"/>
      <c r="F45" s="104">
        <v>-10.35</v>
      </c>
    </row>
    <row r="46" spans="2:8" ht="15.6" hidden="1" x14ac:dyDescent="0.3">
      <c r="B46" s="105">
        <v>42278</v>
      </c>
      <c r="C46" s="96"/>
      <c r="D46" s="96"/>
      <c r="E46" s="96"/>
      <c r="F46" s="104">
        <v>-10.35</v>
      </c>
    </row>
    <row r="47" spans="2:8" ht="15.6" hidden="1" x14ac:dyDescent="0.3">
      <c r="B47" s="151" t="s">
        <v>57</v>
      </c>
      <c r="C47" s="96"/>
      <c r="D47" s="96"/>
      <c r="E47" s="96"/>
      <c r="F47" s="152">
        <v>-9.82</v>
      </c>
    </row>
    <row r="48" spans="2:8" ht="15.6" hidden="1" x14ac:dyDescent="0.3">
      <c r="B48" s="151" t="s">
        <v>57</v>
      </c>
      <c r="C48" s="96"/>
      <c r="D48" s="96"/>
      <c r="E48" s="96"/>
      <c r="F48" s="152">
        <v>-0.67</v>
      </c>
    </row>
    <row r="49" spans="2:6" ht="15.6" hidden="1" x14ac:dyDescent="0.3">
      <c r="B49" s="151"/>
      <c r="C49" s="96"/>
      <c r="D49" s="96"/>
      <c r="E49" s="96"/>
      <c r="F49" s="152">
        <v>-10.210000000000001</v>
      </c>
    </row>
    <row r="50" spans="2:6" ht="15.6" x14ac:dyDescent="0.3">
      <c r="B50" s="151"/>
      <c r="C50" s="96" t="s">
        <v>60</v>
      </c>
      <c r="D50" s="96"/>
      <c r="E50" s="96"/>
      <c r="F50" s="152">
        <v>218.9500000000001</v>
      </c>
    </row>
    <row r="51" spans="2:6" ht="15.6" x14ac:dyDescent="0.3">
      <c r="B51" s="384" t="s">
        <v>81</v>
      </c>
      <c r="C51" s="154"/>
      <c r="D51" s="154"/>
      <c r="E51" s="154"/>
      <c r="F51" s="175"/>
    </row>
    <row r="52" spans="2:6" ht="15.6" x14ac:dyDescent="0.3">
      <c r="B52" s="384"/>
      <c r="C52" s="154" t="s">
        <v>59</v>
      </c>
      <c r="D52" s="154"/>
      <c r="E52" s="154"/>
      <c r="F52" s="175">
        <f>'fin overz 31 dec 2016'!J19</f>
        <v>7.78</v>
      </c>
    </row>
    <row r="53" spans="2:6" ht="15" x14ac:dyDescent="0.25">
      <c r="B53" s="135">
        <v>42376</v>
      </c>
      <c r="C53" s="208" t="s">
        <v>67</v>
      </c>
      <c r="D53" s="136"/>
      <c r="E53" s="136"/>
      <c r="F53" s="137">
        <v>-10.35</v>
      </c>
    </row>
    <row r="54" spans="2:6" ht="15" x14ac:dyDescent="0.25">
      <c r="B54" s="135">
        <v>42403</v>
      </c>
      <c r="C54" s="136" t="s">
        <v>67</v>
      </c>
      <c r="D54" s="136"/>
      <c r="E54" s="136"/>
      <c r="F54" s="137">
        <v>-10.65</v>
      </c>
    </row>
    <row r="55" spans="2:6" ht="15" x14ac:dyDescent="0.25">
      <c r="B55" s="135">
        <v>42432</v>
      </c>
      <c r="C55" s="136" t="s">
        <v>67</v>
      </c>
      <c r="D55" s="136"/>
      <c r="E55" s="136"/>
      <c r="F55" s="137">
        <v>-10.65</v>
      </c>
    </row>
    <row r="56" spans="2:6" ht="15" x14ac:dyDescent="0.25">
      <c r="B56" s="135"/>
      <c r="C56" s="208" t="s">
        <v>59</v>
      </c>
      <c r="D56" s="136"/>
      <c r="E56" s="136"/>
      <c r="F56" s="137"/>
    </row>
    <row r="57" spans="2:6" ht="15" x14ac:dyDescent="0.25">
      <c r="B57" s="135">
        <v>42465</v>
      </c>
      <c r="C57" s="136" t="s">
        <v>67</v>
      </c>
      <c r="D57" s="136"/>
      <c r="E57" s="136"/>
      <c r="F57" s="137">
        <v>-10.65</v>
      </c>
    </row>
    <row r="58" spans="2:6" ht="15" x14ac:dyDescent="0.25">
      <c r="B58" s="135">
        <v>42494</v>
      </c>
      <c r="C58" s="136" t="s">
        <v>67</v>
      </c>
      <c r="D58" s="136"/>
      <c r="E58" s="136"/>
      <c r="F58" s="137">
        <v>-10.65</v>
      </c>
    </row>
    <row r="59" spans="2:6" ht="15" x14ac:dyDescent="0.25">
      <c r="B59" s="135">
        <v>42524</v>
      </c>
      <c r="C59" s="136" t="s">
        <v>67</v>
      </c>
      <c r="D59" s="136"/>
      <c r="E59" s="136"/>
      <c r="F59" s="137">
        <v>-10.65</v>
      </c>
    </row>
    <row r="60" spans="2:6" ht="15" x14ac:dyDescent="0.25">
      <c r="B60" s="135">
        <v>42556</v>
      </c>
      <c r="C60" s="136" t="s">
        <v>67</v>
      </c>
      <c r="D60" s="136"/>
      <c r="E60" s="136"/>
      <c r="F60" s="137">
        <v>-10.65</v>
      </c>
    </row>
    <row r="61" spans="2:6" ht="15" x14ac:dyDescent="0.25">
      <c r="B61" s="135">
        <v>42585</v>
      </c>
      <c r="C61" s="136" t="s">
        <v>67</v>
      </c>
      <c r="D61" s="136"/>
      <c r="E61" s="136"/>
      <c r="F61" s="137">
        <v>-10.65</v>
      </c>
    </row>
    <row r="62" spans="2:6" ht="15" x14ac:dyDescent="0.25">
      <c r="B62" s="207">
        <v>42616</v>
      </c>
      <c r="C62" s="208" t="s">
        <v>67</v>
      </c>
      <c r="D62" s="136"/>
      <c r="E62" s="136"/>
      <c r="F62" s="137">
        <v>-10.65</v>
      </c>
    </row>
    <row r="63" spans="2:6" ht="15" x14ac:dyDescent="0.25">
      <c r="B63" s="207">
        <v>42648</v>
      </c>
      <c r="C63" s="208" t="s">
        <v>67</v>
      </c>
      <c r="D63" s="136"/>
      <c r="E63" s="136"/>
      <c r="F63" s="137">
        <v>-11.21</v>
      </c>
    </row>
    <row r="64" spans="2:6" ht="15" x14ac:dyDescent="0.25">
      <c r="B64" s="207">
        <v>42678</v>
      </c>
      <c r="C64" s="208" t="s">
        <v>67</v>
      </c>
      <c r="D64" s="136"/>
      <c r="E64" s="136"/>
      <c r="F64" s="137">
        <v>-10.09</v>
      </c>
    </row>
    <row r="65" spans="2:8" ht="15" x14ac:dyDescent="0.25">
      <c r="B65" s="207">
        <v>42707</v>
      </c>
      <c r="C65" s="208" t="s">
        <v>67</v>
      </c>
      <c r="D65" s="136"/>
      <c r="E65" s="136"/>
      <c r="F65" s="137">
        <v>-10.65</v>
      </c>
    </row>
    <row r="66" spans="2:8" ht="15" x14ac:dyDescent="0.25">
      <c r="B66" s="135"/>
      <c r="C66" s="208" t="s">
        <v>139</v>
      </c>
      <c r="D66" s="136"/>
      <c r="E66" s="136"/>
      <c r="F66" s="137">
        <f>SUM(F53:F65)</f>
        <v>-127.50000000000003</v>
      </c>
      <c r="H66" s="116"/>
    </row>
    <row r="67" spans="2:8" ht="16.2" thickBot="1" x14ac:dyDescent="0.35">
      <c r="B67" s="385">
        <f>B35</f>
        <v>42735</v>
      </c>
      <c r="C67" s="251" t="str">
        <f>C35</f>
        <v>Saldo</v>
      </c>
      <c r="D67" s="82"/>
      <c r="E67" s="82"/>
      <c r="F67" s="209">
        <f>F50+F52+F66</f>
        <v>99.230000000000075</v>
      </c>
    </row>
    <row r="68" spans="2:8" ht="15.6" thickBot="1" x14ac:dyDescent="0.3">
      <c r="B68" s="12"/>
      <c r="C68" s="12"/>
      <c r="D68" s="12"/>
      <c r="E68" s="12"/>
      <c r="F68" s="12"/>
    </row>
    <row r="69" spans="2:8" ht="15" customHeight="1" x14ac:dyDescent="0.3">
      <c r="B69" s="382" t="s">
        <v>45</v>
      </c>
      <c r="C69" s="156"/>
      <c r="D69" s="156"/>
      <c r="E69" s="199" t="s">
        <v>113</v>
      </c>
      <c r="F69" s="158">
        <v>1000</v>
      </c>
    </row>
    <row r="70" spans="2:8" ht="15" hidden="1" x14ac:dyDescent="0.25">
      <c r="B70" s="164"/>
      <c r="C70" s="165" t="s">
        <v>46</v>
      </c>
      <c r="D70" s="165"/>
      <c r="E70" s="165"/>
      <c r="F70" s="166">
        <v>1084</v>
      </c>
    </row>
    <row r="71" spans="2:8" ht="15" hidden="1" x14ac:dyDescent="0.25">
      <c r="B71" s="167"/>
      <c r="C71" s="165" t="s">
        <v>47</v>
      </c>
      <c r="D71" s="168"/>
      <c r="E71" s="168"/>
      <c r="F71" s="166">
        <v>0</v>
      </c>
    </row>
    <row r="72" spans="2:8" ht="15" hidden="1" x14ac:dyDescent="0.25">
      <c r="B72" s="167"/>
      <c r="C72" s="165"/>
      <c r="D72" s="168"/>
      <c r="E72" s="168"/>
      <c r="F72" s="166"/>
    </row>
    <row r="73" spans="2:8" ht="15.6" hidden="1" x14ac:dyDescent="0.3">
      <c r="B73" s="169">
        <v>42004</v>
      </c>
      <c r="C73" s="170" t="s">
        <v>2</v>
      </c>
      <c r="D73" s="171"/>
      <c r="E73" s="171"/>
      <c r="F73" s="172">
        <v>2084</v>
      </c>
    </row>
    <row r="74" spans="2:8" ht="15.6" hidden="1" x14ac:dyDescent="0.3">
      <c r="B74" s="113">
        <v>2015</v>
      </c>
      <c r="C74" s="96" t="s">
        <v>62</v>
      </c>
      <c r="D74" s="96"/>
      <c r="E74" s="96"/>
      <c r="F74" s="104">
        <v>0</v>
      </c>
    </row>
    <row r="75" spans="2:8" ht="15.6" x14ac:dyDescent="0.3">
      <c r="B75" s="113"/>
      <c r="C75" s="96" t="s">
        <v>61</v>
      </c>
      <c r="D75" s="96"/>
      <c r="E75" s="96"/>
      <c r="F75" s="152">
        <v>2084</v>
      </c>
    </row>
    <row r="76" spans="2:8" ht="15.6" x14ac:dyDescent="0.3">
      <c r="B76" s="384" t="s">
        <v>81</v>
      </c>
      <c r="C76" s="173"/>
      <c r="D76" s="155"/>
      <c r="E76" s="155"/>
      <c r="F76" s="386"/>
    </row>
    <row r="77" spans="2:8" ht="15.6" x14ac:dyDescent="0.3">
      <c r="B77" s="174"/>
      <c r="C77" s="173"/>
      <c r="D77" s="155"/>
      <c r="E77" s="155"/>
      <c r="F77" s="175">
        <v>0</v>
      </c>
    </row>
    <row r="78" spans="2:8" ht="15.6" x14ac:dyDescent="0.3">
      <c r="B78" s="387">
        <f>B67</f>
        <v>42735</v>
      </c>
      <c r="C78" s="228" t="str">
        <f>C67</f>
        <v>Saldo</v>
      </c>
      <c r="D78" s="168"/>
      <c r="E78" s="168"/>
      <c r="F78" s="210">
        <f>F75+F77</f>
        <v>2084</v>
      </c>
      <c r="G78" s="7"/>
    </row>
    <row r="79" spans="2:8" ht="16.2" thickBot="1" x14ac:dyDescent="0.35">
      <c r="B79" s="142"/>
      <c r="C79" s="143"/>
      <c r="D79" s="143"/>
      <c r="E79" s="143"/>
      <c r="F79" s="144"/>
    </row>
    <row r="80" spans="2:8" ht="13.8" thickBot="1" x14ac:dyDescent="0.3"/>
    <row r="81" spans="2:13" ht="15.6" x14ac:dyDescent="0.3">
      <c r="B81" s="223" t="s">
        <v>95</v>
      </c>
      <c r="C81" s="182"/>
      <c r="D81" s="157"/>
      <c r="E81" s="199" t="s">
        <v>114</v>
      </c>
      <c r="F81" s="176"/>
    </row>
    <row r="82" spans="2:13" ht="15.6" x14ac:dyDescent="0.3">
      <c r="B82" s="388"/>
      <c r="C82" s="115" t="s">
        <v>96</v>
      </c>
      <c r="D82" s="115"/>
      <c r="E82" s="115"/>
      <c r="F82" s="152"/>
      <c r="J82" s="8"/>
      <c r="K82" s="8"/>
      <c r="L82" s="183"/>
    </row>
    <row r="83" spans="2:13" ht="15.6" x14ac:dyDescent="0.3">
      <c r="B83" s="388"/>
      <c r="C83" s="115" t="s">
        <v>60</v>
      </c>
      <c r="D83" s="115"/>
      <c r="E83" s="115"/>
      <c r="F83" s="152">
        <f>-933.27</f>
        <v>-933.27</v>
      </c>
      <c r="J83" s="8"/>
      <c r="K83" s="8"/>
      <c r="L83" s="183"/>
    </row>
    <row r="84" spans="2:13" ht="15.6" x14ac:dyDescent="0.3">
      <c r="B84" s="384" t="s">
        <v>81</v>
      </c>
      <c r="C84" s="155"/>
      <c r="D84" s="155"/>
      <c r="E84" s="155"/>
      <c r="F84" s="177"/>
      <c r="H84" s="7"/>
      <c r="L84" s="116"/>
    </row>
    <row r="85" spans="2:13" ht="15.6" x14ac:dyDescent="0.3">
      <c r="B85" s="135">
        <v>42382</v>
      </c>
      <c r="C85" s="181" t="s">
        <v>97</v>
      </c>
      <c r="D85" s="181"/>
      <c r="E85" s="181"/>
      <c r="F85" s="175">
        <v>1250</v>
      </c>
      <c r="L85" s="116"/>
    </row>
    <row r="86" spans="2:13" x14ac:dyDescent="0.25">
      <c r="B86" s="174"/>
      <c r="C86" s="155"/>
      <c r="D86" s="155"/>
      <c r="E86" s="155"/>
      <c r="F86" s="177"/>
      <c r="L86" s="116"/>
    </row>
    <row r="87" spans="2:13" ht="15.6" x14ac:dyDescent="0.3">
      <c r="B87" s="174"/>
      <c r="C87" s="180" t="s">
        <v>68</v>
      </c>
      <c r="D87" s="180"/>
      <c r="E87" s="180"/>
      <c r="F87" s="175">
        <f>F83+F85</f>
        <v>316.73</v>
      </c>
      <c r="L87" s="116"/>
    </row>
    <row r="88" spans="2:13" x14ac:dyDescent="0.25">
      <c r="B88" s="174"/>
      <c r="C88" s="155"/>
      <c r="D88" s="155"/>
      <c r="E88" s="155"/>
      <c r="F88" s="177"/>
      <c r="L88" s="116"/>
    </row>
    <row r="89" spans="2:13" x14ac:dyDescent="0.25">
      <c r="B89" s="206">
        <v>42522</v>
      </c>
      <c r="C89" s="173" t="s">
        <v>124</v>
      </c>
      <c r="D89" s="155"/>
      <c r="E89" s="155"/>
      <c r="F89" s="177">
        <v>-216.59</v>
      </c>
      <c r="L89" s="116"/>
    </row>
    <row r="90" spans="2:13" x14ac:dyDescent="0.25">
      <c r="B90" s="174"/>
      <c r="C90" s="155"/>
      <c r="D90" s="155"/>
      <c r="E90" s="155"/>
      <c r="F90" s="177"/>
      <c r="L90" s="116"/>
    </row>
    <row r="91" spans="2:13" ht="15.75" customHeight="1" x14ac:dyDescent="0.3">
      <c r="B91" s="359">
        <f>B78</f>
        <v>42735</v>
      </c>
      <c r="C91" s="211" t="s">
        <v>2</v>
      </c>
      <c r="D91" s="211"/>
      <c r="E91" s="211"/>
      <c r="F91" s="210">
        <f>SUM(F87:F89)</f>
        <v>100.14000000000001</v>
      </c>
      <c r="L91" s="116"/>
    </row>
    <row r="92" spans="2:13" ht="13.8" thickBot="1" x14ac:dyDescent="0.3">
      <c r="B92" s="142"/>
      <c r="C92" s="162"/>
      <c r="D92" s="162"/>
      <c r="E92" s="162"/>
      <c r="F92" s="178"/>
      <c r="L92" s="116"/>
    </row>
    <row r="93" spans="2:13" ht="13.8" thickBot="1" x14ac:dyDescent="0.3">
      <c r="L93" s="116"/>
      <c r="M93" s="184"/>
    </row>
    <row r="94" spans="2:13" x14ac:dyDescent="0.25">
      <c r="B94" s="368" t="s">
        <v>131</v>
      </c>
      <c r="C94" s="369"/>
      <c r="D94" s="369"/>
      <c r="E94" s="369"/>
      <c r="F94" s="370"/>
      <c r="L94" s="116"/>
      <c r="M94" s="184"/>
    </row>
    <row r="95" spans="2:13" ht="15.6" x14ac:dyDescent="0.3">
      <c r="B95" s="389" t="s">
        <v>83</v>
      </c>
      <c r="C95" s="371"/>
      <c r="D95" s="155"/>
      <c r="E95" s="372" t="s">
        <v>115</v>
      </c>
      <c r="F95" s="177"/>
      <c r="I95" s="7"/>
      <c r="K95" s="7"/>
      <c r="L95" s="116"/>
    </row>
    <row r="96" spans="2:13" ht="15.6" hidden="1" x14ac:dyDescent="0.3">
      <c r="B96" s="359">
        <v>42004</v>
      </c>
      <c r="C96" s="373" t="s">
        <v>84</v>
      </c>
      <c r="D96" s="373"/>
      <c r="E96" s="373"/>
      <c r="F96" s="172">
        <v>0</v>
      </c>
      <c r="I96" s="7"/>
      <c r="K96" s="7"/>
      <c r="L96" s="116"/>
    </row>
    <row r="97" spans="2:12" ht="15.6" x14ac:dyDescent="0.3">
      <c r="B97" s="390">
        <v>42343</v>
      </c>
      <c r="C97" s="115" t="s">
        <v>85</v>
      </c>
      <c r="D97" s="115" t="s">
        <v>86</v>
      </c>
      <c r="E97" s="115"/>
      <c r="F97" s="152">
        <v>5000</v>
      </c>
      <c r="I97" s="7"/>
      <c r="K97" s="7"/>
      <c r="L97" s="116"/>
    </row>
    <row r="98" spans="2:12" ht="15.6" x14ac:dyDescent="0.3">
      <c r="B98" s="388"/>
      <c r="C98" s="115" t="s">
        <v>61</v>
      </c>
      <c r="D98" s="115"/>
      <c r="E98" s="115"/>
      <c r="F98" s="152">
        <f>F97</f>
        <v>5000</v>
      </c>
      <c r="I98" s="7"/>
      <c r="K98" s="7"/>
      <c r="L98" s="116"/>
    </row>
    <row r="99" spans="2:12" ht="15.6" x14ac:dyDescent="0.3">
      <c r="B99" s="384" t="s">
        <v>81</v>
      </c>
      <c r="C99" s="155"/>
      <c r="D99" s="155"/>
      <c r="E99" s="155"/>
      <c r="F99" s="177"/>
      <c r="I99" s="7"/>
      <c r="L99" s="116"/>
    </row>
    <row r="100" spans="2:12" ht="15.6" x14ac:dyDescent="0.3">
      <c r="B100" s="135">
        <v>42424</v>
      </c>
      <c r="C100" s="181" t="s">
        <v>90</v>
      </c>
      <c r="D100" s="179"/>
      <c r="E100" s="179"/>
      <c r="F100" s="175">
        <v>10000</v>
      </c>
      <c r="L100" s="116"/>
    </row>
    <row r="101" spans="2:12" ht="15.6" x14ac:dyDescent="0.3">
      <c r="B101" s="135">
        <v>42424</v>
      </c>
      <c r="C101" s="179" t="s">
        <v>87</v>
      </c>
      <c r="D101" s="179"/>
      <c r="E101" s="180"/>
      <c r="F101" s="175">
        <v>5000</v>
      </c>
    </row>
    <row r="102" spans="2:12" ht="15.6" x14ac:dyDescent="0.3">
      <c r="B102" s="135">
        <v>42523</v>
      </c>
      <c r="C102" s="181" t="s">
        <v>120</v>
      </c>
      <c r="D102" s="181"/>
      <c r="E102" s="180"/>
      <c r="F102" s="205">
        <v>2500</v>
      </c>
    </row>
    <row r="103" spans="2:12" ht="15.6" x14ac:dyDescent="0.3">
      <c r="B103" s="135">
        <v>42536</v>
      </c>
      <c r="C103" s="181" t="s">
        <v>123</v>
      </c>
      <c r="D103" s="181"/>
      <c r="E103" s="180"/>
      <c r="F103" s="205">
        <v>1500</v>
      </c>
    </row>
    <row r="104" spans="2:12" ht="15" x14ac:dyDescent="0.25">
      <c r="B104" s="207" t="s">
        <v>147</v>
      </c>
      <c r="C104" s="181" t="s">
        <v>146</v>
      </c>
      <c r="D104" s="181"/>
      <c r="E104" s="181"/>
      <c r="F104" s="205">
        <v>950</v>
      </c>
    </row>
    <row r="105" spans="2:12" ht="15.6" x14ac:dyDescent="0.3">
      <c r="B105" s="135"/>
      <c r="C105" s="227" t="s">
        <v>151</v>
      </c>
      <c r="D105" s="227"/>
      <c r="E105" s="227"/>
      <c r="F105" s="152">
        <f>SUM(F100:F104)</f>
        <v>19950</v>
      </c>
    </row>
    <row r="106" spans="2:12" ht="15.6" x14ac:dyDescent="0.3">
      <c r="B106" s="135"/>
      <c r="C106" s="180"/>
      <c r="D106" s="180"/>
      <c r="E106" s="180"/>
      <c r="F106" s="175"/>
    </row>
    <row r="107" spans="2:12" ht="15.6" x14ac:dyDescent="0.3">
      <c r="B107" s="135">
        <v>42515</v>
      </c>
      <c r="C107" s="180" t="s">
        <v>128</v>
      </c>
      <c r="D107" s="180"/>
      <c r="E107" s="180"/>
      <c r="F107" s="175">
        <f>-907.5</f>
        <v>-907.5</v>
      </c>
    </row>
    <row r="108" spans="2:12" ht="15.6" x14ac:dyDescent="0.3">
      <c r="B108" s="135">
        <v>42612</v>
      </c>
      <c r="C108" s="180" t="s">
        <v>127</v>
      </c>
      <c r="D108" s="180"/>
      <c r="E108" s="180"/>
      <c r="F108" s="175">
        <f>-5248.38</f>
        <v>-5248.38</v>
      </c>
    </row>
    <row r="109" spans="2:12" ht="15.6" x14ac:dyDescent="0.3">
      <c r="B109" s="135"/>
      <c r="C109" s="180"/>
      <c r="D109" s="180"/>
      <c r="E109" s="180"/>
      <c r="F109" s="175"/>
    </row>
    <row r="110" spans="2:12" ht="15.6" x14ac:dyDescent="0.3">
      <c r="B110" s="135">
        <v>42612</v>
      </c>
      <c r="C110" s="180" t="s">
        <v>135</v>
      </c>
      <c r="D110" s="180"/>
      <c r="E110" s="180"/>
      <c r="F110" s="175">
        <f>-201.95</f>
        <v>-201.95</v>
      </c>
    </row>
    <row r="111" spans="2:12" ht="15.6" x14ac:dyDescent="0.3">
      <c r="B111" s="135">
        <v>42615</v>
      </c>
      <c r="C111" s="180" t="s">
        <v>136</v>
      </c>
      <c r="D111" s="180"/>
      <c r="E111" s="180"/>
      <c r="F111" s="175">
        <f>-9709.6</f>
        <v>-9709.6</v>
      </c>
    </row>
    <row r="112" spans="2:12" ht="15.6" x14ac:dyDescent="0.3">
      <c r="B112" s="135">
        <v>42621</v>
      </c>
      <c r="C112" s="180" t="s">
        <v>138</v>
      </c>
      <c r="D112" s="180"/>
      <c r="E112" s="180"/>
      <c r="F112" s="175">
        <v>-96.61</v>
      </c>
    </row>
    <row r="113" spans="2:9" ht="15.6" x14ac:dyDescent="0.3">
      <c r="B113" s="207">
        <v>42648</v>
      </c>
      <c r="C113" s="180" t="s">
        <v>137</v>
      </c>
      <c r="D113" s="180"/>
      <c r="E113" s="180"/>
      <c r="F113" s="175">
        <v>-393.45</v>
      </c>
      <c r="H113" s="116"/>
    </row>
    <row r="114" spans="2:9" ht="15.6" x14ac:dyDescent="0.3">
      <c r="B114" s="207">
        <v>42697</v>
      </c>
      <c r="C114" s="180" t="s">
        <v>136</v>
      </c>
      <c r="D114" s="180"/>
      <c r="E114" s="180"/>
      <c r="F114" s="175">
        <v>-54.45</v>
      </c>
      <c r="H114" s="116"/>
    </row>
    <row r="115" spans="2:9" ht="15.6" x14ac:dyDescent="0.3">
      <c r="B115" s="207">
        <v>42704</v>
      </c>
      <c r="C115" s="180" t="s">
        <v>143</v>
      </c>
      <c r="D115" s="180"/>
      <c r="E115" s="180"/>
      <c r="F115" s="175">
        <v>-299.48</v>
      </c>
      <c r="H115" s="116"/>
    </row>
    <row r="116" spans="2:9" ht="15.6" x14ac:dyDescent="0.3">
      <c r="B116" s="207">
        <v>42716</v>
      </c>
      <c r="C116" s="180" t="s">
        <v>155</v>
      </c>
      <c r="D116" s="180"/>
      <c r="E116" s="180"/>
      <c r="F116" s="175">
        <f>-225</f>
        <v>-225</v>
      </c>
      <c r="H116" s="116"/>
    </row>
    <row r="117" spans="2:9" ht="17.25" customHeight="1" x14ac:dyDescent="0.3">
      <c r="B117" s="207">
        <v>42724</v>
      </c>
      <c r="C117" s="181" t="s">
        <v>156</v>
      </c>
      <c r="D117" s="181"/>
      <c r="E117" s="181"/>
      <c r="F117" s="175">
        <v>-105.27</v>
      </c>
      <c r="H117" s="116"/>
    </row>
    <row r="118" spans="2:9" ht="9" customHeight="1" x14ac:dyDescent="0.3">
      <c r="B118" s="207"/>
      <c r="C118" s="227"/>
      <c r="D118" s="227"/>
      <c r="E118" s="227"/>
      <c r="F118" s="152"/>
      <c r="H118" s="116"/>
    </row>
    <row r="119" spans="2:9" ht="15.6" x14ac:dyDescent="0.3">
      <c r="B119" s="207"/>
      <c r="C119" s="227" t="s">
        <v>157</v>
      </c>
      <c r="D119" s="227"/>
      <c r="E119" s="227"/>
      <c r="F119" s="152">
        <f>SUM(F107:F117)</f>
        <v>-17241.690000000002</v>
      </c>
      <c r="H119" s="116"/>
    </row>
    <row r="120" spans="2:9" ht="15.6" x14ac:dyDescent="0.3">
      <c r="B120" s="207">
        <v>42731</v>
      </c>
      <c r="C120" s="227" t="s">
        <v>164</v>
      </c>
      <c r="D120" s="227"/>
      <c r="E120" s="227"/>
      <c r="F120" s="152">
        <v>40</v>
      </c>
      <c r="H120" s="116"/>
    </row>
    <row r="121" spans="2:9" ht="15.6" x14ac:dyDescent="0.3">
      <c r="B121" s="207">
        <v>42731</v>
      </c>
      <c r="C121" s="227" t="s">
        <v>164</v>
      </c>
      <c r="D121" s="227"/>
      <c r="E121" s="227"/>
      <c r="F121" s="152">
        <v>405</v>
      </c>
      <c r="H121" s="116"/>
    </row>
    <row r="122" spans="2:9" ht="21.75" customHeight="1" x14ac:dyDescent="0.3">
      <c r="B122" s="359">
        <f>B91</f>
        <v>42735</v>
      </c>
      <c r="C122" s="211" t="str">
        <f>C91</f>
        <v>Saldo</v>
      </c>
      <c r="D122" s="211"/>
      <c r="E122" s="211"/>
      <c r="F122" s="210">
        <f>F98+F105+F119+F120+F121</f>
        <v>8153.3099999999977</v>
      </c>
      <c r="H122" s="116"/>
      <c r="I122" s="116"/>
    </row>
    <row r="123" spans="2:9" ht="21.75" customHeight="1" thickBot="1" x14ac:dyDescent="0.35">
      <c r="B123" s="391"/>
      <c r="C123" s="392"/>
      <c r="D123" s="392"/>
      <c r="E123" s="392"/>
      <c r="F123" s="144"/>
      <c r="H123" s="116"/>
    </row>
    <row r="124" spans="2:9" ht="9.75" customHeight="1" thickBot="1" x14ac:dyDescent="0.35">
      <c r="B124" s="13"/>
      <c r="C124" s="204"/>
      <c r="D124" s="204"/>
      <c r="E124" s="204"/>
      <c r="F124" s="202"/>
    </row>
    <row r="125" spans="2:9" hidden="1" x14ac:dyDescent="0.25"/>
    <row r="126" spans="2:9" ht="15.6" x14ac:dyDescent="0.3">
      <c r="B126" s="223" t="s">
        <v>88</v>
      </c>
      <c r="C126" s="182"/>
      <c r="D126" s="182"/>
      <c r="E126" s="393" t="s">
        <v>116</v>
      </c>
      <c r="F126" s="394"/>
    </row>
    <row r="127" spans="2:9" ht="15.6" x14ac:dyDescent="0.3">
      <c r="B127" s="388"/>
      <c r="C127" s="115" t="s">
        <v>60</v>
      </c>
      <c r="D127" s="115"/>
      <c r="E127" s="115"/>
      <c r="F127" s="152">
        <v>0</v>
      </c>
      <c r="I127" s="116"/>
    </row>
    <row r="128" spans="2:9" ht="15.6" x14ac:dyDescent="0.3">
      <c r="B128" s="384" t="s">
        <v>81</v>
      </c>
      <c r="C128" s="374"/>
      <c r="D128" s="155"/>
      <c r="E128" s="155"/>
      <c r="F128" s="177"/>
    </row>
    <row r="129" spans="2:7" ht="15.6" x14ac:dyDescent="0.3">
      <c r="B129" s="135">
        <v>42466</v>
      </c>
      <c r="C129" s="181" t="s">
        <v>89</v>
      </c>
      <c r="D129" s="181"/>
      <c r="E129" s="181"/>
      <c r="F129" s="175">
        <v>1500</v>
      </c>
    </row>
    <row r="130" spans="2:7" ht="15.6" x14ac:dyDescent="0.3">
      <c r="B130" s="174"/>
      <c r="C130" s="181"/>
      <c r="D130" s="181"/>
      <c r="E130" s="181"/>
      <c r="F130" s="175"/>
    </row>
    <row r="131" spans="2:7" ht="15.6" x14ac:dyDescent="0.3">
      <c r="B131" s="174"/>
      <c r="C131" s="211" t="s">
        <v>152</v>
      </c>
      <c r="D131" s="211"/>
      <c r="E131" s="211"/>
      <c r="F131" s="210">
        <f>F127+F129</f>
        <v>1500</v>
      </c>
      <c r="G131" s="7"/>
    </row>
    <row r="132" spans="2:7" ht="15.6" x14ac:dyDescent="0.3">
      <c r="B132" s="206">
        <v>42710</v>
      </c>
      <c r="C132" s="227" t="s">
        <v>153</v>
      </c>
      <c r="D132" s="227"/>
      <c r="E132" s="227"/>
      <c r="F132" s="152">
        <f>-1500</f>
        <v>-1500</v>
      </c>
      <c r="G132" s="7"/>
    </row>
    <row r="133" spans="2:7" ht="16.2" thickBot="1" x14ac:dyDescent="0.35">
      <c r="B133" s="395">
        <f>B122</f>
        <v>42735</v>
      </c>
      <c r="C133" s="396" t="str">
        <f>C122</f>
        <v>Saldo</v>
      </c>
      <c r="D133" s="396"/>
      <c r="E133" s="396"/>
      <c r="F133" s="209">
        <f>F131+F132</f>
        <v>0</v>
      </c>
    </row>
    <row r="135" spans="2:7" ht="0.75" customHeight="1" thickBot="1" x14ac:dyDescent="0.3"/>
    <row r="136" spans="2:7" ht="15.6" x14ac:dyDescent="0.3">
      <c r="B136" s="223" t="s">
        <v>93</v>
      </c>
      <c r="C136" s="182"/>
      <c r="D136" s="182"/>
      <c r="E136" s="393" t="s">
        <v>117</v>
      </c>
      <c r="F136" s="394"/>
    </row>
    <row r="137" spans="2:7" ht="15.6" x14ac:dyDescent="0.3">
      <c r="B137" s="388"/>
      <c r="C137" s="115" t="s">
        <v>60</v>
      </c>
      <c r="D137" s="115"/>
      <c r="E137" s="115"/>
      <c r="F137" s="152">
        <v>0</v>
      </c>
    </row>
    <row r="138" spans="2:7" ht="15.6" x14ac:dyDescent="0.3">
      <c r="B138" s="384" t="s">
        <v>81</v>
      </c>
      <c r="C138" s="374"/>
      <c r="D138" s="155"/>
      <c r="E138" s="155"/>
      <c r="F138" s="177"/>
    </row>
    <row r="139" spans="2:7" ht="15.6" x14ac:dyDescent="0.3">
      <c r="B139" s="135">
        <v>42426</v>
      </c>
      <c r="C139" s="181" t="s">
        <v>94</v>
      </c>
      <c r="D139" s="181"/>
      <c r="E139" s="181"/>
      <c r="F139" s="175">
        <v>200</v>
      </c>
    </row>
    <row r="140" spans="2:7" ht="15.6" x14ac:dyDescent="0.3">
      <c r="B140" s="174"/>
      <c r="C140" s="181" t="s">
        <v>220</v>
      </c>
      <c r="D140" s="181"/>
      <c r="E140" s="181"/>
      <c r="F140" s="175">
        <f>'fin overz 31 dec 2016'!I24</f>
        <v>-151.34</v>
      </c>
    </row>
    <row r="141" spans="2:7" ht="15.6" x14ac:dyDescent="0.3">
      <c r="B141" s="359">
        <f>B133</f>
        <v>42735</v>
      </c>
      <c r="C141" s="211" t="str">
        <f>C133</f>
        <v>Saldo</v>
      </c>
      <c r="D141" s="211"/>
      <c r="E141" s="211"/>
      <c r="F141" s="210">
        <f>SUM(F139:F140)</f>
        <v>48.66</v>
      </c>
      <c r="G141" s="7"/>
    </row>
    <row r="142" spans="2:7" ht="15" customHeight="1" thickBot="1" x14ac:dyDescent="0.3">
      <c r="B142" s="142"/>
      <c r="C142" s="162"/>
      <c r="D142" s="162"/>
      <c r="E142" s="162"/>
      <c r="F142" s="178"/>
    </row>
    <row r="143" spans="2:7" ht="18" customHeight="1" thickBot="1" x14ac:dyDescent="0.3"/>
    <row r="144" spans="2:7" ht="15.6" x14ac:dyDescent="0.3">
      <c r="B144" s="223" t="s">
        <v>91</v>
      </c>
      <c r="C144" s="182"/>
      <c r="D144" s="182"/>
      <c r="E144" s="393" t="s">
        <v>118</v>
      </c>
      <c r="F144" s="394"/>
    </row>
    <row r="145" spans="2:7" ht="15.6" x14ac:dyDescent="0.3">
      <c r="B145" s="388"/>
      <c r="C145" s="115" t="s">
        <v>60</v>
      </c>
      <c r="D145" s="115"/>
      <c r="E145" s="115"/>
      <c r="F145" s="152">
        <v>0</v>
      </c>
    </row>
    <row r="146" spans="2:7" ht="15.6" x14ac:dyDescent="0.3">
      <c r="B146" s="384" t="s">
        <v>81</v>
      </c>
      <c r="C146" s="374"/>
      <c r="D146" s="155"/>
      <c r="E146" s="155"/>
      <c r="F146" s="177"/>
    </row>
    <row r="147" spans="2:7" ht="15.6" x14ac:dyDescent="0.3">
      <c r="B147" s="135">
        <v>42493</v>
      </c>
      <c r="C147" s="181" t="s">
        <v>92</v>
      </c>
      <c r="D147" s="181"/>
      <c r="E147" s="181"/>
      <c r="F147" s="175">
        <v>300</v>
      </c>
    </row>
    <row r="148" spans="2:7" ht="15.6" x14ac:dyDescent="0.3">
      <c r="B148" s="174"/>
      <c r="C148" s="181"/>
      <c r="D148" s="181"/>
      <c r="E148" s="181"/>
      <c r="F148" s="175"/>
    </row>
    <row r="149" spans="2:7" ht="15.6" x14ac:dyDescent="0.3">
      <c r="B149" s="174"/>
      <c r="C149" s="211" t="s">
        <v>150</v>
      </c>
      <c r="D149" s="211"/>
      <c r="E149" s="211"/>
      <c r="F149" s="210">
        <f>F145+F147</f>
        <v>300</v>
      </c>
      <c r="G149" s="7"/>
    </row>
    <row r="150" spans="2:7" ht="15.6" x14ac:dyDescent="0.3">
      <c r="B150" s="206">
        <v>42710</v>
      </c>
      <c r="C150" s="227" t="s">
        <v>154</v>
      </c>
      <c r="D150" s="227"/>
      <c r="E150" s="227"/>
      <c r="F150" s="152">
        <v>-300.01</v>
      </c>
      <c r="G150" s="7"/>
    </row>
    <row r="151" spans="2:7" ht="15.6" x14ac:dyDescent="0.3">
      <c r="B151" s="359">
        <v>42734</v>
      </c>
      <c r="C151" s="211" t="str">
        <f>C141</f>
        <v>Saldo</v>
      </c>
      <c r="D151" s="211"/>
      <c r="E151" s="211"/>
      <c r="F151" s="210">
        <f>F149+F150</f>
        <v>-9.9999999999909051E-3</v>
      </c>
    </row>
    <row r="152" spans="2:7" ht="15.6" x14ac:dyDescent="0.3">
      <c r="B152" s="359">
        <v>42735</v>
      </c>
      <c r="C152" s="211" t="s">
        <v>217</v>
      </c>
      <c r="D152" s="211"/>
      <c r="E152" s="211"/>
      <c r="F152" s="210">
        <v>0</v>
      </c>
    </row>
    <row r="153" spans="2:7" ht="15.6" x14ac:dyDescent="0.3">
      <c r="B153" s="359">
        <v>42735</v>
      </c>
      <c r="C153" s="211" t="s">
        <v>2</v>
      </c>
      <c r="D153" s="211"/>
      <c r="E153" s="211"/>
      <c r="F153" s="210">
        <f>F151+F152</f>
        <v>-9.9999999999909051E-3</v>
      </c>
    </row>
    <row r="154" spans="2:7" ht="10.5" customHeight="1" thickBot="1" x14ac:dyDescent="0.3">
      <c r="B154" s="142"/>
      <c r="C154" s="162"/>
      <c r="D154" s="162"/>
      <c r="E154" s="162"/>
      <c r="F154" s="178"/>
    </row>
    <row r="155" spans="2:7" ht="24" customHeight="1" thickBot="1" x14ac:dyDescent="0.3"/>
    <row r="156" spans="2:7" ht="15.6" x14ac:dyDescent="0.3">
      <c r="B156" s="223" t="s">
        <v>122</v>
      </c>
      <c r="C156" s="182"/>
      <c r="D156" s="182"/>
      <c r="E156" s="397" t="s">
        <v>119</v>
      </c>
      <c r="F156" s="394"/>
    </row>
    <row r="157" spans="2:7" ht="15.6" x14ac:dyDescent="0.3">
      <c r="B157" s="388"/>
      <c r="C157" s="115" t="s">
        <v>60</v>
      </c>
      <c r="D157" s="115"/>
      <c r="E157" s="115"/>
      <c r="F157" s="152">
        <v>0</v>
      </c>
    </row>
    <row r="158" spans="2:7" ht="15.6" x14ac:dyDescent="0.3">
      <c r="B158" s="384" t="s">
        <v>81</v>
      </c>
      <c r="C158" s="374"/>
      <c r="D158" s="155"/>
      <c r="E158" s="155"/>
      <c r="F158" s="177"/>
    </row>
    <row r="159" spans="2:7" ht="15.6" x14ac:dyDescent="0.3">
      <c r="B159" s="174"/>
      <c r="C159" s="181" t="s">
        <v>209</v>
      </c>
      <c r="D159" s="181"/>
      <c r="E159" s="375"/>
      <c r="F159" s="175">
        <v>10000</v>
      </c>
    </row>
    <row r="160" spans="2:7" ht="15.6" x14ac:dyDescent="0.3">
      <c r="B160" s="174"/>
      <c r="C160" s="181"/>
      <c r="D160" s="181"/>
      <c r="E160" s="200"/>
      <c r="F160" s="175"/>
    </row>
    <row r="161" spans="2:7" ht="15.6" x14ac:dyDescent="0.3">
      <c r="B161" s="174"/>
      <c r="C161" s="181" t="s">
        <v>101</v>
      </c>
      <c r="D161" s="181"/>
      <c r="E161" s="200"/>
      <c r="F161" s="175">
        <v>0</v>
      </c>
    </row>
    <row r="162" spans="2:7" ht="15.6" x14ac:dyDescent="0.3">
      <c r="B162" s="359">
        <f>B151</f>
        <v>42734</v>
      </c>
      <c r="C162" s="211" t="str">
        <f>C151</f>
        <v>Saldo</v>
      </c>
      <c r="D162" s="211"/>
      <c r="E162" s="211"/>
      <c r="F162" s="210">
        <f>SUM(F159:F161)</f>
        <v>10000</v>
      </c>
      <c r="G162" s="7"/>
    </row>
    <row r="163" spans="2:7" ht="13.8" thickBot="1" x14ac:dyDescent="0.3">
      <c r="B163" s="142"/>
      <c r="C163" s="162"/>
      <c r="D163" s="162"/>
      <c r="E163" s="162"/>
      <c r="F163" s="178"/>
    </row>
    <row r="164" spans="2:7" ht="13.8" thickBot="1" x14ac:dyDescent="0.3"/>
    <row r="165" spans="2:7" ht="15.6" x14ac:dyDescent="0.3">
      <c r="B165" s="223" t="s">
        <v>140</v>
      </c>
      <c r="C165" s="182"/>
      <c r="D165" s="182"/>
      <c r="E165" s="397" t="s">
        <v>141</v>
      </c>
      <c r="F165" s="394"/>
    </row>
    <row r="166" spans="2:7" ht="15.6" x14ac:dyDescent="0.3">
      <c r="B166" s="19"/>
      <c r="C166" s="64"/>
      <c r="D166" s="64"/>
      <c r="E166" s="201"/>
      <c r="F166" s="212"/>
    </row>
    <row r="167" spans="2:7" ht="15.6" x14ac:dyDescent="0.3">
      <c r="B167" s="19"/>
      <c r="C167" s="64"/>
      <c r="D167" s="64"/>
      <c r="E167" s="201"/>
      <c r="F167" s="358"/>
    </row>
    <row r="168" spans="2:7" ht="15.6" x14ac:dyDescent="0.3">
      <c r="B168" s="359">
        <f>B162</f>
        <v>42734</v>
      </c>
      <c r="C168" s="211" t="str">
        <f>C162</f>
        <v>Saldo</v>
      </c>
      <c r="D168" s="228"/>
      <c r="E168" s="217"/>
      <c r="F168" s="210">
        <f>'fin overz 31 dec 2016'!G29</f>
        <v>704.31000000000336</v>
      </c>
    </row>
    <row r="169" spans="2:7" ht="16.2" thickBot="1" x14ac:dyDescent="0.35">
      <c r="B169" s="213"/>
      <c r="C169" s="214"/>
      <c r="D169" s="215"/>
      <c r="E169" s="215"/>
      <c r="F169" s="216"/>
    </row>
    <row r="170" spans="2:7" ht="15.6" x14ac:dyDescent="0.3">
      <c r="B170" s="13"/>
      <c r="C170" s="203"/>
      <c r="D170" s="203"/>
      <c r="E170" s="202"/>
      <c r="F170" s="202"/>
    </row>
    <row r="171" spans="2:7" ht="15.6" x14ac:dyDescent="0.3">
      <c r="C171" s="203"/>
      <c r="D171" s="203"/>
      <c r="E171" s="203"/>
      <c r="F171" s="202"/>
    </row>
    <row r="172" spans="2:7" ht="15.6" x14ac:dyDescent="0.3">
      <c r="C172" s="204"/>
      <c r="D172" s="204"/>
      <c r="E172" s="204"/>
      <c r="F172" s="202"/>
    </row>
  </sheetData>
  <phoneticPr fontId="0" type="noConversion"/>
  <pageMargins left="0.75" right="0.75" top="1" bottom="1" header="0.5" footer="0.5"/>
  <pageSetup paperSize="9" scale="65" fitToHeight="2" orientation="portrait" horizontalDpi="360" verticalDpi="36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S135"/>
  <sheetViews>
    <sheetView topLeftCell="A118" zoomScale="115" zoomScaleNormal="115" workbookViewId="0">
      <selection activeCell="G136" sqref="G136"/>
    </sheetView>
  </sheetViews>
  <sheetFormatPr defaultRowHeight="13.2" x14ac:dyDescent="0.25"/>
  <cols>
    <col min="1" max="1" width="3.33203125" customWidth="1"/>
    <col min="2" max="2" width="13" bestFit="1" customWidth="1"/>
    <col min="5" max="5" width="15.44140625" customWidth="1"/>
    <col min="6" max="6" width="17.6640625" bestFit="1" customWidth="1"/>
    <col min="7" max="7" width="9.109375" customWidth="1"/>
    <col min="8" max="8" width="12.109375" bestFit="1" customWidth="1"/>
    <col min="9" max="9" width="13" bestFit="1" customWidth="1"/>
    <col min="12" max="12" width="15.44140625" customWidth="1"/>
    <col min="13" max="13" width="17.6640625" bestFit="1" customWidth="1"/>
    <col min="15" max="15" width="13" bestFit="1" customWidth="1"/>
    <col min="18" max="18" width="15.44140625" customWidth="1"/>
    <col min="19" max="19" width="17.6640625" bestFit="1" customWidth="1"/>
  </cols>
  <sheetData>
    <row r="1" spans="2:19" ht="22.8" x14ac:dyDescent="0.4">
      <c r="B1" s="80" t="s">
        <v>48</v>
      </c>
    </row>
    <row r="2" spans="2:19" ht="18.75" customHeight="1" thickBot="1" x14ac:dyDescent="0.35">
      <c r="B2" s="102" t="s">
        <v>52</v>
      </c>
      <c r="C2" s="96"/>
      <c r="D2" s="95"/>
      <c r="E2" s="95"/>
      <c r="F2" s="103"/>
      <c r="O2" s="60"/>
      <c r="P2" s="61"/>
      <c r="Q2" s="62"/>
      <c r="R2" s="62"/>
      <c r="S2" s="63"/>
    </row>
    <row r="3" spans="2:19" ht="18.75" customHeight="1" x14ac:dyDescent="0.3">
      <c r="B3" s="16" t="s">
        <v>1</v>
      </c>
      <c r="C3" s="17"/>
      <c r="D3" s="17"/>
      <c r="E3" s="17"/>
      <c r="F3" s="18"/>
      <c r="I3" s="57"/>
      <c r="J3" s="8"/>
      <c r="M3" s="10"/>
      <c r="O3" s="64"/>
      <c r="P3" s="1"/>
      <c r="Q3" s="1"/>
      <c r="R3" s="1"/>
      <c r="S3" s="63"/>
    </row>
    <row r="4" spans="2:19" ht="0.75" customHeight="1" thickBot="1" x14ac:dyDescent="0.35">
      <c r="B4" s="19"/>
      <c r="C4" s="1"/>
      <c r="D4" s="1"/>
      <c r="E4" s="1"/>
      <c r="F4" s="20"/>
      <c r="I4" s="5"/>
      <c r="J4" s="4"/>
      <c r="K4" s="7"/>
      <c r="L4" s="7"/>
      <c r="M4" s="58"/>
      <c r="O4" s="5"/>
      <c r="P4" s="6"/>
      <c r="Q4" s="1"/>
      <c r="R4" s="1"/>
      <c r="S4" s="63"/>
    </row>
    <row r="5" spans="2:19" ht="13.5" hidden="1" customHeight="1" thickBot="1" x14ac:dyDescent="0.35">
      <c r="B5" s="21">
        <v>40544</v>
      </c>
      <c r="C5" s="8" t="s">
        <v>2</v>
      </c>
      <c r="F5" s="22">
        <v>637.35</v>
      </c>
      <c r="I5" s="5"/>
      <c r="J5" s="4"/>
      <c r="K5" s="7"/>
      <c r="L5" s="7"/>
      <c r="M5" s="58"/>
      <c r="O5" s="5"/>
      <c r="P5" s="1"/>
      <c r="Q5" s="1"/>
      <c r="R5" s="1"/>
      <c r="S5" s="63"/>
    </row>
    <row r="6" spans="2:19" ht="13.5" hidden="1" customHeight="1" thickBot="1" x14ac:dyDescent="0.3">
      <c r="B6" s="23"/>
      <c r="F6" s="24"/>
      <c r="I6" s="5"/>
      <c r="J6" s="4"/>
      <c r="K6" s="7"/>
      <c r="L6" s="7"/>
      <c r="M6" s="15"/>
      <c r="O6" s="1"/>
      <c r="P6" s="6"/>
      <c r="Q6" s="1"/>
      <c r="R6" s="1"/>
      <c r="S6" s="63"/>
    </row>
    <row r="7" spans="2:19" ht="16.5" hidden="1" customHeight="1" thickBot="1" x14ac:dyDescent="0.3">
      <c r="B7" s="25"/>
      <c r="C7" s="12" t="s">
        <v>19</v>
      </c>
      <c r="D7" s="12"/>
      <c r="E7" s="12"/>
      <c r="F7" s="26">
        <v>18.77</v>
      </c>
      <c r="I7" s="5"/>
      <c r="J7" s="4"/>
      <c r="K7" s="7"/>
      <c r="L7" s="7"/>
      <c r="M7" s="15"/>
      <c r="O7" s="65"/>
      <c r="P7" s="1"/>
      <c r="Q7" s="1"/>
      <c r="R7" s="1"/>
      <c r="S7" s="63"/>
    </row>
    <row r="8" spans="2:19" ht="16.5" hidden="1" customHeight="1" thickBot="1" x14ac:dyDescent="0.3">
      <c r="B8" s="25"/>
      <c r="C8" s="12" t="s">
        <v>20</v>
      </c>
      <c r="D8" s="12"/>
      <c r="E8" s="12"/>
      <c r="F8" s="26">
        <v>19.63</v>
      </c>
      <c r="I8" s="5"/>
      <c r="J8" s="4"/>
      <c r="K8" s="7"/>
      <c r="L8" s="7"/>
      <c r="M8" s="15"/>
      <c r="O8" s="66"/>
      <c r="P8" s="1"/>
      <c r="Q8" s="1"/>
      <c r="R8" s="1"/>
      <c r="S8" s="63"/>
    </row>
    <row r="9" spans="2:19" ht="16.5" hidden="1" customHeight="1" thickBot="1" x14ac:dyDescent="0.3">
      <c r="B9" s="25"/>
      <c r="C9" s="12" t="s">
        <v>22</v>
      </c>
      <c r="D9" s="12"/>
      <c r="E9" s="12"/>
      <c r="F9" s="27">
        <v>7.79</v>
      </c>
      <c r="I9" s="5"/>
      <c r="J9" s="4"/>
      <c r="K9" s="7"/>
      <c r="L9" s="7"/>
      <c r="M9" s="15"/>
      <c r="O9" s="66"/>
      <c r="P9" s="1"/>
      <c r="Q9" s="1"/>
      <c r="R9" s="1"/>
      <c r="S9" s="63"/>
    </row>
    <row r="10" spans="2:19" ht="18.75" hidden="1" customHeight="1" thickBot="1" x14ac:dyDescent="0.35">
      <c r="B10" s="21">
        <v>41639</v>
      </c>
      <c r="C10" s="8" t="s">
        <v>2</v>
      </c>
      <c r="F10" s="28">
        <f>SUM(F5:F9)</f>
        <v>683.54</v>
      </c>
      <c r="I10" s="5"/>
      <c r="J10" s="8"/>
      <c r="K10" s="7"/>
      <c r="L10" s="7"/>
      <c r="M10" s="59"/>
      <c r="O10" s="66"/>
      <c r="P10" s="1"/>
      <c r="Q10" s="1"/>
      <c r="R10" s="1"/>
      <c r="S10" s="63"/>
    </row>
    <row r="11" spans="2:19" ht="18.75" hidden="1" customHeight="1" thickBot="1" x14ac:dyDescent="0.35">
      <c r="B11" s="21"/>
      <c r="C11" s="4" t="s">
        <v>32</v>
      </c>
      <c r="F11" s="29">
        <v>8.84</v>
      </c>
      <c r="I11" s="5"/>
      <c r="J11" s="4"/>
      <c r="K11" s="7"/>
      <c r="L11" s="7"/>
      <c r="M11" s="15"/>
      <c r="O11" s="67"/>
      <c r="P11" s="8"/>
      <c r="Q11" s="1"/>
      <c r="R11" s="1"/>
      <c r="S11" s="68"/>
    </row>
    <row r="12" spans="2:19" ht="17.25" hidden="1" customHeight="1" thickBot="1" x14ac:dyDescent="0.35">
      <c r="B12" s="81">
        <v>42004</v>
      </c>
      <c r="C12" s="82" t="s">
        <v>2</v>
      </c>
      <c r="D12" s="83"/>
      <c r="E12" s="83"/>
      <c r="F12" s="72">
        <f>SUM(F10:F11)</f>
        <v>692.38</v>
      </c>
      <c r="I12" s="5"/>
      <c r="J12" s="4"/>
      <c r="K12" s="7"/>
      <c r="L12" s="7"/>
      <c r="M12" s="15"/>
      <c r="O12" s="69"/>
      <c r="P12" s="6"/>
      <c r="Q12" s="1"/>
      <c r="R12" s="1"/>
      <c r="S12" s="68"/>
    </row>
    <row r="13" spans="2:19" ht="18.75" customHeight="1" x14ac:dyDescent="0.3">
      <c r="B13" s="87"/>
      <c r="C13" s="88" t="s">
        <v>50</v>
      </c>
      <c r="D13" s="89"/>
      <c r="E13" s="89"/>
      <c r="F13" s="90">
        <v>3.79</v>
      </c>
      <c r="G13" s="7"/>
      <c r="I13" s="5"/>
      <c r="J13" s="4"/>
      <c r="K13" s="7"/>
      <c r="L13" s="7"/>
      <c r="M13" s="15"/>
      <c r="O13" s="69"/>
      <c r="P13" s="6"/>
      <c r="Q13" s="1"/>
      <c r="R13" s="1"/>
      <c r="S13" s="68"/>
    </row>
    <row r="14" spans="2:19" ht="11.25" customHeight="1" x14ac:dyDescent="0.3">
      <c r="B14" s="108"/>
      <c r="C14" s="96"/>
      <c r="D14" s="95"/>
      <c r="E14" s="95"/>
      <c r="F14" s="104"/>
      <c r="I14" s="5"/>
      <c r="J14" s="4"/>
      <c r="K14" s="7"/>
      <c r="L14" s="7"/>
      <c r="M14" s="15"/>
      <c r="O14" s="67"/>
      <c r="P14" s="1"/>
      <c r="Q14" s="1"/>
      <c r="R14" s="1"/>
      <c r="S14" s="63"/>
    </row>
    <row r="15" spans="2:19" ht="18" customHeight="1" thickBot="1" x14ac:dyDescent="0.35">
      <c r="B15" s="91"/>
      <c r="C15" s="92" t="s">
        <v>61</v>
      </c>
      <c r="D15" s="93"/>
      <c r="E15" s="93"/>
      <c r="F15" s="94">
        <f>SUM(F12:F14)</f>
        <v>696.17</v>
      </c>
      <c r="I15" s="5"/>
      <c r="J15" s="4"/>
      <c r="K15" s="7"/>
      <c r="L15" s="7"/>
      <c r="M15" s="15"/>
      <c r="O15" s="67"/>
      <c r="P15" s="1"/>
      <c r="Q15" s="1"/>
      <c r="R15" s="1"/>
      <c r="S15" s="63"/>
    </row>
    <row r="16" spans="2:19" ht="15.75" customHeight="1" x14ac:dyDescent="0.3">
      <c r="B16" s="117"/>
      <c r="C16" s="118" t="s">
        <v>63</v>
      </c>
      <c r="D16" s="119"/>
      <c r="E16" s="119"/>
      <c r="F16" s="120">
        <v>2.17</v>
      </c>
      <c r="I16" s="5"/>
      <c r="J16" s="4"/>
      <c r="K16" s="7"/>
      <c r="L16" s="7"/>
      <c r="M16" s="15"/>
      <c r="O16" s="67"/>
      <c r="P16" s="1"/>
      <c r="Q16" s="1"/>
      <c r="R16" s="1"/>
      <c r="S16" s="63"/>
    </row>
    <row r="17" spans="2:19" ht="15.75" customHeight="1" x14ac:dyDescent="0.3">
      <c r="B17" s="121"/>
      <c r="C17" s="122"/>
      <c r="D17" s="123"/>
      <c r="E17" s="123"/>
      <c r="F17" s="124"/>
      <c r="I17" s="5"/>
      <c r="J17" s="4"/>
      <c r="K17" s="7"/>
      <c r="L17" s="7"/>
      <c r="M17" s="15"/>
      <c r="O17" s="67"/>
      <c r="P17" s="1"/>
      <c r="Q17" s="1"/>
      <c r="R17" s="1"/>
      <c r="S17" s="63"/>
    </row>
    <row r="18" spans="2:19" ht="21.75" customHeight="1" thickBot="1" x14ac:dyDescent="0.35">
      <c r="B18" s="125"/>
      <c r="C18" s="126" t="s">
        <v>64</v>
      </c>
      <c r="D18" s="127"/>
      <c r="E18" s="127"/>
      <c r="F18" s="128">
        <f>F15+F16</f>
        <v>698.33999999999992</v>
      </c>
      <c r="I18" s="5"/>
      <c r="J18" s="4"/>
      <c r="M18" s="15"/>
      <c r="O18" s="67"/>
      <c r="P18" s="1"/>
      <c r="Q18" s="1"/>
      <c r="R18" s="1"/>
      <c r="S18" s="63"/>
    </row>
    <row r="19" spans="2:19" ht="18" customHeight="1" thickBot="1" x14ac:dyDescent="0.35">
      <c r="B19" s="9"/>
      <c r="C19" s="8"/>
      <c r="F19" s="10"/>
      <c r="I19" s="5"/>
      <c r="J19" s="4"/>
      <c r="M19" s="15"/>
      <c r="O19" s="67"/>
      <c r="P19" s="1"/>
      <c r="Q19" s="1"/>
      <c r="R19" s="1"/>
      <c r="S19" s="63"/>
    </row>
    <row r="20" spans="2:19" ht="18.75" customHeight="1" x14ac:dyDescent="0.3">
      <c r="B20" s="30" t="s">
        <v>23</v>
      </c>
      <c r="C20" s="31"/>
      <c r="D20" s="32"/>
      <c r="E20" s="32"/>
      <c r="F20" s="33"/>
      <c r="I20" s="5"/>
      <c r="J20" s="4"/>
      <c r="M20" s="15"/>
      <c r="O20" s="67"/>
      <c r="P20" s="8"/>
      <c r="Q20" s="6"/>
      <c r="R20" s="6"/>
      <c r="S20" s="68"/>
    </row>
    <row r="21" spans="2:19" ht="3.75" customHeight="1" x14ac:dyDescent="0.3">
      <c r="B21" s="21"/>
      <c r="C21" s="4"/>
      <c r="D21" s="7"/>
      <c r="E21" s="7"/>
      <c r="F21" s="34"/>
      <c r="I21" s="5"/>
      <c r="J21" s="4"/>
      <c r="M21" s="15"/>
      <c r="O21" s="67"/>
      <c r="P21" s="8"/>
      <c r="Q21" s="6"/>
      <c r="R21" s="6"/>
      <c r="S21" s="68"/>
    </row>
    <row r="22" spans="2:19" ht="18.75" hidden="1" customHeight="1" x14ac:dyDescent="0.3">
      <c r="B22" s="21">
        <v>41442</v>
      </c>
      <c r="C22" s="4" t="s">
        <v>24</v>
      </c>
      <c r="D22" s="7"/>
      <c r="E22" s="7"/>
      <c r="F22" s="34">
        <v>2500</v>
      </c>
      <c r="I22" s="5"/>
      <c r="J22" s="8"/>
      <c r="K22" s="7"/>
      <c r="L22" s="7"/>
      <c r="M22" s="59"/>
      <c r="O22" s="67"/>
      <c r="P22" s="4"/>
      <c r="Q22" s="6"/>
      <c r="R22" s="6"/>
      <c r="S22" s="63"/>
    </row>
    <row r="23" spans="2:19" ht="18.75" hidden="1" customHeight="1" x14ac:dyDescent="0.25">
      <c r="B23" s="21"/>
      <c r="C23" s="4" t="s">
        <v>25</v>
      </c>
      <c r="D23" s="7"/>
      <c r="E23" s="7"/>
      <c r="F23" s="35">
        <v>-220.48</v>
      </c>
      <c r="I23" s="5"/>
      <c r="J23" s="4"/>
      <c r="K23" s="7"/>
      <c r="L23" s="7"/>
      <c r="M23" s="15"/>
      <c r="O23" s="67"/>
      <c r="P23" s="4"/>
      <c r="Q23" s="6"/>
      <c r="R23" s="6"/>
      <c r="S23" s="63"/>
    </row>
    <row r="24" spans="2:19" ht="18.75" hidden="1" customHeight="1" x14ac:dyDescent="0.25">
      <c r="B24" s="21"/>
      <c r="C24" s="4" t="s">
        <v>26</v>
      </c>
      <c r="D24" s="7"/>
      <c r="E24" s="7"/>
      <c r="F24" s="35">
        <v>-500</v>
      </c>
      <c r="O24" s="67"/>
      <c r="P24" s="1"/>
      <c r="Q24" s="6"/>
      <c r="R24" s="6"/>
      <c r="S24" s="63"/>
    </row>
    <row r="25" spans="2:19" ht="18.75" hidden="1" customHeight="1" x14ac:dyDescent="0.25">
      <c r="B25" s="21"/>
      <c r="C25" s="4" t="s">
        <v>28</v>
      </c>
      <c r="D25" s="7"/>
      <c r="E25" s="7"/>
      <c r="F25" s="35">
        <v>-180</v>
      </c>
      <c r="O25" s="67"/>
      <c r="P25" s="1"/>
      <c r="Q25" s="6"/>
      <c r="R25" s="6"/>
      <c r="S25" s="63"/>
    </row>
    <row r="26" spans="2:19" ht="18.75" hidden="1" customHeight="1" x14ac:dyDescent="0.25">
      <c r="B26" s="21"/>
      <c r="C26" s="4" t="s">
        <v>27</v>
      </c>
      <c r="D26" s="7"/>
      <c r="E26" s="7"/>
      <c r="F26" s="36">
        <v>-269.98</v>
      </c>
      <c r="O26" s="67"/>
      <c r="P26" s="1"/>
      <c r="Q26" s="6"/>
      <c r="R26" s="6"/>
      <c r="S26" s="63"/>
    </row>
    <row r="27" spans="2:19" ht="18.75" hidden="1" customHeight="1" x14ac:dyDescent="0.3">
      <c r="B27" s="21">
        <v>41639</v>
      </c>
      <c r="C27" s="8" t="s">
        <v>2</v>
      </c>
      <c r="D27" s="7"/>
      <c r="E27" s="7"/>
      <c r="F27" s="37">
        <f>SUM(F22:F26)</f>
        <v>1329.54</v>
      </c>
      <c r="O27" s="67"/>
      <c r="P27" s="1"/>
      <c r="Q27" s="6"/>
      <c r="R27" s="6"/>
      <c r="S27" s="63"/>
    </row>
    <row r="28" spans="2:19" ht="18.75" hidden="1" customHeight="1" x14ac:dyDescent="0.25">
      <c r="B28" s="21">
        <v>41649</v>
      </c>
      <c r="C28" s="4" t="s">
        <v>30</v>
      </c>
      <c r="D28" s="7"/>
      <c r="E28" s="7"/>
      <c r="F28" s="35">
        <v>-240.15</v>
      </c>
      <c r="O28" s="67"/>
      <c r="P28" s="1"/>
      <c r="Q28" s="6"/>
      <c r="R28" s="6"/>
      <c r="S28" s="63"/>
    </row>
    <row r="29" spans="2:19" ht="18.75" hidden="1" customHeight="1" x14ac:dyDescent="0.3">
      <c r="B29" s="21">
        <v>41799</v>
      </c>
      <c r="C29" s="4" t="s">
        <v>35</v>
      </c>
      <c r="D29" s="7"/>
      <c r="E29" s="7"/>
      <c r="F29" s="35">
        <v>-98.4</v>
      </c>
      <c r="O29" s="67"/>
      <c r="P29" s="8"/>
      <c r="Q29" s="6"/>
      <c r="R29" s="6"/>
      <c r="S29" s="59"/>
    </row>
    <row r="30" spans="2:19" ht="18.75" hidden="1" customHeight="1" x14ac:dyDescent="0.3">
      <c r="B30" s="21">
        <v>41829</v>
      </c>
      <c r="C30" s="4" t="s">
        <v>36</v>
      </c>
      <c r="D30" s="7"/>
      <c r="E30" s="7"/>
      <c r="F30" s="35">
        <v>-104.37</v>
      </c>
      <c r="O30" s="67"/>
      <c r="P30" s="8"/>
      <c r="Q30" s="6"/>
      <c r="R30" s="6"/>
      <c r="S30" s="68"/>
    </row>
    <row r="31" spans="2:19" ht="18.75" hidden="1" customHeight="1" x14ac:dyDescent="0.25">
      <c r="B31" s="21">
        <v>41913</v>
      </c>
      <c r="C31" s="4" t="s">
        <v>37</v>
      </c>
      <c r="F31" s="35">
        <v>-71.34</v>
      </c>
      <c r="O31" s="67"/>
      <c r="P31" s="4"/>
      <c r="Q31" s="6"/>
      <c r="R31" s="6"/>
      <c r="S31" s="63"/>
    </row>
    <row r="32" spans="2:19" ht="18.75" hidden="1" customHeight="1" x14ac:dyDescent="0.25">
      <c r="B32" s="21">
        <v>41927</v>
      </c>
      <c r="C32" s="4" t="s">
        <v>38</v>
      </c>
      <c r="F32" s="35">
        <v>-34.5</v>
      </c>
      <c r="O32" s="67"/>
      <c r="P32" s="4"/>
      <c r="Q32" s="6"/>
      <c r="R32" s="6"/>
      <c r="S32" s="63"/>
    </row>
    <row r="33" spans="2:19" ht="4.5" hidden="1" customHeight="1" x14ac:dyDescent="0.25">
      <c r="B33" s="21"/>
      <c r="C33" s="4"/>
      <c r="F33" s="36"/>
      <c r="O33" s="67"/>
      <c r="P33" s="4"/>
      <c r="Q33" s="6"/>
      <c r="R33" s="6"/>
      <c r="S33" s="63"/>
    </row>
    <row r="34" spans="2:19" ht="9" hidden="1" customHeight="1" thickBot="1" x14ac:dyDescent="0.35">
      <c r="B34" s="81">
        <v>42004</v>
      </c>
      <c r="C34" s="82" t="s">
        <v>2</v>
      </c>
      <c r="D34" s="84"/>
      <c r="E34" s="84"/>
      <c r="F34" s="73">
        <f>SUM(F27:F32)</f>
        <v>780.77999999999986</v>
      </c>
      <c r="O34" s="67"/>
      <c r="P34" s="4"/>
      <c r="Q34" s="6"/>
      <c r="R34" s="6"/>
      <c r="S34" s="63"/>
    </row>
    <row r="35" spans="2:19" ht="18.75" customHeight="1" x14ac:dyDescent="0.3">
      <c r="B35" s="108">
        <v>42109</v>
      </c>
      <c r="C35" s="96" t="s">
        <v>51</v>
      </c>
      <c r="D35" s="107"/>
      <c r="E35" s="107"/>
      <c r="F35" s="109">
        <f>-182.61</f>
        <v>-182.61</v>
      </c>
      <c r="G35" s="7"/>
      <c r="O35" s="67"/>
      <c r="P35" s="4"/>
      <c r="Q35" s="6"/>
      <c r="R35" s="6"/>
      <c r="S35" s="63"/>
    </row>
    <row r="36" spans="2:19" ht="7.5" customHeight="1" x14ac:dyDescent="0.3">
      <c r="B36" s="108"/>
      <c r="C36" s="96"/>
      <c r="D36" s="107"/>
      <c r="E36" s="107"/>
      <c r="F36" s="109"/>
      <c r="O36" s="67"/>
      <c r="P36" s="4"/>
      <c r="Q36" s="6"/>
      <c r="R36" s="6"/>
      <c r="S36" s="63"/>
    </row>
    <row r="37" spans="2:19" ht="18.75" customHeight="1" thickBot="1" x14ac:dyDescent="0.35">
      <c r="B37" s="91"/>
      <c r="C37" s="92" t="s">
        <v>61</v>
      </c>
      <c r="D37" s="100"/>
      <c r="E37" s="100"/>
      <c r="F37" s="101">
        <f>F34+F35</f>
        <v>598.16999999999985</v>
      </c>
      <c r="O37" s="67"/>
      <c r="P37" s="4"/>
      <c r="Q37" s="6"/>
      <c r="R37" s="6"/>
      <c r="S37" s="63"/>
    </row>
    <row r="38" spans="2:19" ht="18.75" customHeight="1" x14ac:dyDescent="0.3">
      <c r="B38" s="117"/>
      <c r="C38" s="118" t="s">
        <v>66</v>
      </c>
      <c r="D38" s="119"/>
      <c r="E38" s="119"/>
      <c r="F38" s="120">
        <v>0</v>
      </c>
      <c r="O38" s="5"/>
      <c r="P38" s="8"/>
      <c r="Q38" s="6"/>
      <c r="R38" s="6"/>
      <c r="S38" s="59"/>
    </row>
    <row r="39" spans="2:19" ht="18" customHeight="1" x14ac:dyDescent="0.3">
      <c r="B39" s="121"/>
      <c r="C39" s="122" t="str">
        <f>C18</f>
        <v>Saldo 24  mei 2016</v>
      </c>
      <c r="D39" s="123"/>
      <c r="E39" s="123"/>
      <c r="F39" s="124">
        <f>F37+F38</f>
        <v>598.16999999999985</v>
      </c>
      <c r="O39" s="5"/>
      <c r="P39" s="8"/>
      <c r="Q39" s="6"/>
      <c r="R39" s="6"/>
      <c r="S39" s="59"/>
    </row>
    <row r="40" spans="2:19" ht="18.75" customHeight="1" thickBot="1" x14ac:dyDescent="0.35">
      <c r="B40" s="125"/>
      <c r="C40" s="126"/>
      <c r="D40" s="127"/>
      <c r="E40" s="127"/>
      <c r="F40" s="128"/>
      <c r="O40" s="5"/>
      <c r="P40" s="8"/>
      <c r="Q40" s="6"/>
      <c r="R40" s="6"/>
      <c r="S40" s="59"/>
    </row>
    <row r="41" spans="2:19" ht="18.75" customHeight="1" thickBot="1" x14ac:dyDescent="0.35">
      <c r="B41" s="129"/>
      <c r="C41" s="8"/>
      <c r="F41" s="130" t="s">
        <v>49</v>
      </c>
      <c r="O41" s="5"/>
      <c r="P41" s="8"/>
      <c r="Q41" s="6"/>
      <c r="R41" s="6"/>
      <c r="S41" s="59"/>
    </row>
    <row r="42" spans="2:19" ht="18" customHeight="1" x14ac:dyDescent="0.25">
      <c r="B42" s="38" t="s">
        <v>11</v>
      </c>
      <c r="C42" s="39"/>
      <c r="D42" s="40"/>
      <c r="E42" s="40"/>
      <c r="F42" s="18"/>
      <c r="G42" s="224"/>
      <c r="L42" s="2"/>
      <c r="N42" s="3"/>
      <c r="O42" s="5"/>
      <c r="P42" s="4"/>
      <c r="Q42" s="1"/>
      <c r="R42" s="1"/>
      <c r="S42" s="15"/>
    </row>
    <row r="43" spans="2:19" s="1" customFormat="1" ht="17.25" customHeight="1" x14ac:dyDescent="0.3">
      <c r="B43" s="19" t="s">
        <v>0</v>
      </c>
      <c r="F43" s="41">
        <v>1000</v>
      </c>
      <c r="O43" s="5"/>
      <c r="P43" s="4"/>
      <c r="S43" s="15"/>
    </row>
    <row r="44" spans="2:19" s="1" customFormat="1" ht="19.5" customHeight="1" x14ac:dyDescent="0.25">
      <c r="B44" s="21">
        <v>39448</v>
      </c>
      <c r="C44" s="6" t="s">
        <v>2</v>
      </c>
      <c r="F44" s="41">
        <v>551.57000000000005</v>
      </c>
      <c r="O44" s="5"/>
      <c r="P44" s="4"/>
      <c r="Q44"/>
      <c r="R44" s="49"/>
      <c r="S44" s="11"/>
    </row>
    <row r="45" spans="2:19" s="1" customFormat="1" ht="12.75" customHeight="1" x14ac:dyDescent="0.3">
      <c r="B45" s="21">
        <v>39464</v>
      </c>
      <c r="C45" s="1" t="s">
        <v>4</v>
      </c>
      <c r="F45" s="41">
        <v>-87.92</v>
      </c>
      <c r="O45" s="5"/>
      <c r="P45" s="8"/>
      <c r="Q45"/>
      <c r="R45"/>
      <c r="S45" s="10"/>
    </row>
    <row r="46" spans="2:19" s="1" customFormat="1" ht="12.75" customHeight="1" x14ac:dyDescent="0.25">
      <c r="B46" s="42"/>
      <c r="C46" s="6"/>
      <c r="D46" s="1" t="s">
        <v>3</v>
      </c>
      <c r="F46" s="41"/>
      <c r="O46" s="5"/>
      <c r="P46"/>
      <c r="Q46"/>
      <c r="R46"/>
      <c r="S46"/>
    </row>
    <row r="47" spans="2:19" s="1" customFormat="1" ht="16.5" customHeight="1" x14ac:dyDescent="0.25">
      <c r="B47" s="43">
        <v>2008</v>
      </c>
      <c r="C47" s="1" t="s">
        <v>5</v>
      </c>
      <c r="F47" s="41">
        <v>1000</v>
      </c>
      <c r="O47" s="5"/>
      <c r="P47" s="4"/>
      <c r="Q47"/>
      <c r="R47"/>
      <c r="S47" s="11"/>
    </row>
    <row r="48" spans="2:19" s="1" customFormat="1" ht="16.5" customHeight="1" x14ac:dyDescent="0.25">
      <c r="B48" s="44">
        <v>40114</v>
      </c>
      <c r="C48" s="1" t="s">
        <v>6</v>
      </c>
      <c r="F48" s="41">
        <v>-55.6</v>
      </c>
      <c r="O48" s="70"/>
      <c r="P48" s="12"/>
      <c r="Q48" s="12"/>
      <c r="R48" s="12"/>
      <c r="S48" s="11"/>
    </row>
    <row r="49" spans="2:19" s="1" customFormat="1" ht="16.5" customHeight="1" x14ac:dyDescent="0.25">
      <c r="B49" s="44">
        <v>40169</v>
      </c>
      <c r="C49" s="1" t="s">
        <v>6</v>
      </c>
      <c r="F49" s="41">
        <v>-150</v>
      </c>
      <c r="O49" s="70"/>
      <c r="P49" s="12"/>
      <c r="Q49" s="12"/>
      <c r="R49" s="12"/>
      <c r="S49" s="14"/>
    </row>
    <row r="50" spans="2:19" s="1" customFormat="1" ht="16.5" customHeight="1" x14ac:dyDescent="0.3">
      <c r="B50" s="44">
        <v>40178</v>
      </c>
      <c r="C50" s="1" t="s">
        <v>6</v>
      </c>
      <c r="F50" s="45">
        <v>-109.5</v>
      </c>
      <c r="O50" s="70"/>
      <c r="P50" s="54"/>
      <c r="Q50" s="12"/>
      <c r="R50" s="12"/>
      <c r="S50" s="71"/>
    </row>
    <row r="51" spans="2:19" s="1" customFormat="1" ht="21.75" customHeight="1" x14ac:dyDescent="0.3">
      <c r="B51" s="46">
        <v>39813</v>
      </c>
      <c r="C51" s="8" t="s">
        <v>2</v>
      </c>
      <c r="F51" s="47">
        <f>SUM(F44:F50)</f>
        <v>1148.5500000000002</v>
      </c>
      <c r="O51" s="70"/>
      <c r="P51" s="12"/>
      <c r="Q51" s="12"/>
      <c r="R51" s="12"/>
      <c r="S51" s="14"/>
    </row>
    <row r="52" spans="2:19" s="1" customFormat="1" ht="8.25" customHeight="1" x14ac:dyDescent="0.25">
      <c r="B52" s="48"/>
      <c r="C52" s="6"/>
      <c r="F52" s="47"/>
      <c r="O52" s="70"/>
      <c r="P52" s="12"/>
      <c r="Q52" s="12"/>
      <c r="R52" s="12"/>
      <c r="S52" s="11"/>
    </row>
    <row r="53" spans="2:19" s="1" customFormat="1" ht="16.5" customHeight="1" x14ac:dyDescent="0.25">
      <c r="B53" s="46">
        <v>39843</v>
      </c>
      <c r="C53" s="1" t="s">
        <v>7</v>
      </c>
      <c r="F53" s="41">
        <v>-84.24</v>
      </c>
      <c r="O53" s="70"/>
      <c r="P53" s="12"/>
      <c r="Q53" s="12"/>
      <c r="R53" s="12"/>
      <c r="S53" s="11"/>
    </row>
    <row r="54" spans="2:19" s="1" customFormat="1" ht="16.5" customHeight="1" x14ac:dyDescent="0.25">
      <c r="B54" s="46">
        <v>39843</v>
      </c>
      <c r="C54" s="1" t="s">
        <v>7</v>
      </c>
      <c r="F54" s="45">
        <v>-26.15</v>
      </c>
      <c r="O54" s="70"/>
      <c r="P54" s="12"/>
      <c r="Q54" s="12"/>
      <c r="R54" s="12"/>
      <c r="S54" s="11"/>
    </row>
    <row r="55" spans="2:19" s="6" customFormat="1" ht="18.75" customHeight="1" x14ac:dyDescent="0.3">
      <c r="B55" s="46">
        <v>40178</v>
      </c>
      <c r="C55" s="8" t="s">
        <v>2</v>
      </c>
      <c r="F55" s="47">
        <f>SUM(F51:F54)</f>
        <v>1038.1600000000001</v>
      </c>
      <c r="O55" s="70"/>
      <c r="P55" s="12"/>
      <c r="Q55" s="12"/>
      <c r="R55" s="12"/>
      <c r="S55" s="11"/>
    </row>
    <row r="56" spans="2:19" s="6" customFormat="1" ht="8.25" customHeight="1" x14ac:dyDescent="0.3">
      <c r="B56" s="46"/>
      <c r="C56" s="8"/>
      <c r="F56" s="47"/>
      <c r="O56" s="70"/>
      <c r="P56" s="12"/>
      <c r="Q56" s="12"/>
      <c r="R56" s="12"/>
      <c r="S56" s="11"/>
    </row>
    <row r="57" spans="2:19" s="6" customFormat="1" ht="14.1" customHeight="1" x14ac:dyDescent="0.25">
      <c r="B57" s="46"/>
      <c r="C57" s="4" t="s">
        <v>8</v>
      </c>
      <c r="F57" s="41">
        <v>-500</v>
      </c>
      <c r="O57" s="13"/>
      <c r="P57" s="12"/>
      <c r="Q57" s="12"/>
      <c r="R57" s="12"/>
      <c r="S57" s="14"/>
    </row>
    <row r="58" spans="2:19" s="6" customFormat="1" ht="8.25" customHeight="1" x14ac:dyDescent="0.3">
      <c r="B58" s="46"/>
      <c r="C58" s="4"/>
      <c r="F58" s="41"/>
      <c r="O58" s="13"/>
      <c r="P58" s="8"/>
      <c r="Q58" s="12"/>
      <c r="R58" s="12"/>
      <c r="S58" s="14"/>
    </row>
    <row r="59" spans="2:19" s="6" customFormat="1" ht="14.1" customHeight="1" x14ac:dyDescent="0.25">
      <c r="B59" s="46">
        <v>40281</v>
      </c>
      <c r="C59" s="1" t="s">
        <v>9</v>
      </c>
      <c r="F59" s="41">
        <v>-100.93</v>
      </c>
      <c r="O59" s="13"/>
      <c r="P59" s="12"/>
      <c r="Q59" s="12"/>
      <c r="R59" s="12"/>
      <c r="S59" s="14"/>
    </row>
    <row r="60" spans="2:19" s="6" customFormat="1" ht="14.1" customHeight="1" x14ac:dyDescent="0.25">
      <c r="B60" s="46">
        <v>40351</v>
      </c>
      <c r="C60" s="1" t="s">
        <v>9</v>
      </c>
      <c r="F60" s="41">
        <v>-139</v>
      </c>
    </row>
    <row r="61" spans="2:19" s="6" customFormat="1" ht="14.1" customHeight="1" x14ac:dyDescent="0.25">
      <c r="B61" s="46">
        <v>40490</v>
      </c>
      <c r="C61" s="1" t="s">
        <v>10</v>
      </c>
      <c r="F61" s="41">
        <v>2000</v>
      </c>
    </row>
    <row r="62" spans="2:19" s="6" customFormat="1" ht="16.5" customHeight="1" x14ac:dyDescent="0.25">
      <c r="B62" s="46">
        <v>40512</v>
      </c>
      <c r="C62" s="1" t="s">
        <v>6</v>
      </c>
      <c r="F62" s="41">
        <v>-209.91</v>
      </c>
    </row>
    <row r="63" spans="2:19" s="6" customFormat="1" ht="16.5" customHeight="1" x14ac:dyDescent="0.25">
      <c r="B63" s="46">
        <v>40535</v>
      </c>
      <c r="C63" s="1" t="s">
        <v>9</v>
      </c>
      <c r="F63" s="45">
        <v>-69.180000000000007</v>
      </c>
    </row>
    <row r="64" spans="2:19" s="6" customFormat="1" ht="21" customHeight="1" x14ac:dyDescent="0.3">
      <c r="B64" s="46">
        <v>40543</v>
      </c>
      <c r="C64" s="8" t="s">
        <v>2</v>
      </c>
      <c r="F64" s="37">
        <f>SUM(F55:F63)</f>
        <v>2019.14</v>
      </c>
    </row>
    <row r="65" spans="2:7" s="6" customFormat="1" ht="6.75" customHeight="1" x14ac:dyDescent="0.3">
      <c r="B65" s="46"/>
      <c r="C65" s="8"/>
      <c r="F65" s="47"/>
    </row>
    <row r="66" spans="2:7" s="6" customFormat="1" ht="16.5" customHeight="1" x14ac:dyDescent="0.25">
      <c r="B66" s="46">
        <v>40567</v>
      </c>
      <c r="C66" s="4" t="s">
        <v>12</v>
      </c>
      <c r="F66" s="41">
        <v>-244.86</v>
      </c>
    </row>
    <row r="67" spans="2:7" s="6" customFormat="1" ht="18" customHeight="1" x14ac:dyDescent="0.25">
      <c r="B67" s="46">
        <v>40570</v>
      </c>
      <c r="C67" s="4" t="s">
        <v>13</v>
      </c>
      <c r="F67" s="41">
        <v>1000</v>
      </c>
    </row>
    <row r="68" spans="2:7" s="6" customFormat="1" ht="16.5" customHeight="1" x14ac:dyDescent="0.25">
      <c r="B68" s="46">
        <v>40883</v>
      </c>
      <c r="C68" s="4" t="s">
        <v>14</v>
      </c>
      <c r="F68" s="41">
        <v>-203.37</v>
      </c>
    </row>
    <row r="69" spans="2:7" s="6" customFormat="1" ht="16.5" customHeight="1" x14ac:dyDescent="0.25">
      <c r="B69" s="46">
        <v>40892</v>
      </c>
      <c r="C69" s="4" t="s">
        <v>15</v>
      </c>
      <c r="F69" s="45">
        <v>-52.25</v>
      </c>
    </row>
    <row r="70" spans="2:7" s="6" customFormat="1" ht="14.25" hidden="1" customHeight="1" x14ac:dyDescent="0.3">
      <c r="B70" s="21">
        <v>40908</v>
      </c>
      <c r="C70" s="8" t="s">
        <v>2</v>
      </c>
      <c r="F70" s="37">
        <f>SUM(F64:F69)</f>
        <v>2518.6600000000003</v>
      </c>
    </row>
    <row r="71" spans="2:7" s="6" customFormat="1" ht="7.5" hidden="1" customHeight="1" x14ac:dyDescent="0.3">
      <c r="B71" s="21"/>
      <c r="C71" s="8"/>
      <c r="F71" s="37"/>
    </row>
    <row r="72" spans="2:7" s="1" customFormat="1" ht="18" hidden="1" customHeight="1" x14ac:dyDescent="0.25">
      <c r="B72" s="21">
        <v>40935</v>
      </c>
      <c r="C72" s="4" t="s">
        <v>17</v>
      </c>
      <c r="F72" s="35">
        <v>-302.75</v>
      </c>
    </row>
    <row r="73" spans="2:7" s="1" customFormat="1" ht="15.75" hidden="1" customHeight="1" x14ac:dyDescent="0.25">
      <c r="B73" s="21">
        <v>41081</v>
      </c>
      <c r="C73" s="4" t="s">
        <v>18</v>
      </c>
      <c r="F73" s="35">
        <v>-188.78</v>
      </c>
    </row>
    <row r="74" spans="2:7" ht="16.5" hidden="1" customHeight="1" x14ac:dyDescent="0.25">
      <c r="B74" s="21">
        <v>41270</v>
      </c>
      <c r="C74" s="4" t="s">
        <v>21</v>
      </c>
      <c r="E74" s="49"/>
      <c r="F74" s="50">
        <v>-300</v>
      </c>
    </row>
    <row r="75" spans="2:7" ht="23.25" hidden="1" customHeight="1" x14ac:dyDescent="0.3">
      <c r="B75" s="21">
        <v>41274</v>
      </c>
      <c r="C75" s="8" t="s">
        <v>2</v>
      </c>
      <c r="F75" s="28">
        <f>SUM(F70:F74)</f>
        <v>1727.1300000000003</v>
      </c>
    </row>
    <row r="76" spans="2:7" ht="6" hidden="1" customHeight="1" x14ac:dyDescent="0.25">
      <c r="B76" s="21"/>
      <c r="F76" s="51"/>
    </row>
    <row r="77" spans="2:7" ht="15" hidden="1" x14ac:dyDescent="0.25">
      <c r="B77" s="21">
        <v>41499</v>
      </c>
      <c r="C77" s="4" t="s">
        <v>16</v>
      </c>
      <c r="F77" s="52">
        <v>-600</v>
      </c>
    </row>
    <row r="78" spans="2:7" ht="15" hidden="1" x14ac:dyDescent="0.25">
      <c r="B78" s="53">
        <v>41621</v>
      </c>
      <c r="C78" s="12" t="s">
        <v>29</v>
      </c>
      <c r="D78" s="12"/>
      <c r="E78" s="12"/>
      <c r="F78" s="52">
        <v>-63</v>
      </c>
      <c r="G78" s="12"/>
    </row>
    <row r="79" spans="2:7" ht="5.25" hidden="1" customHeight="1" x14ac:dyDescent="0.25">
      <c r="B79" s="53"/>
      <c r="C79" s="12"/>
      <c r="D79" s="12"/>
      <c r="E79" s="12"/>
      <c r="F79" s="27"/>
      <c r="G79" s="12"/>
    </row>
    <row r="80" spans="2:7" ht="15.6" hidden="1" x14ac:dyDescent="0.3">
      <c r="B80" s="53">
        <v>41639</v>
      </c>
      <c r="C80" s="54" t="s">
        <v>2</v>
      </c>
      <c r="D80" s="12"/>
      <c r="E80" s="12"/>
      <c r="F80" s="55">
        <f>SUM(F75:F79)</f>
        <v>1064.1300000000003</v>
      </c>
      <c r="G80" s="12"/>
    </row>
    <row r="81" spans="2:8" ht="6.75" hidden="1" customHeight="1" x14ac:dyDescent="0.25">
      <c r="B81" s="53"/>
      <c r="C81" s="12"/>
      <c r="D81" s="12"/>
      <c r="E81" s="12"/>
      <c r="F81" s="26"/>
      <c r="G81" s="12"/>
    </row>
    <row r="82" spans="2:8" ht="15" hidden="1" x14ac:dyDescent="0.25">
      <c r="B82" s="53">
        <v>41669</v>
      </c>
      <c r="C82" s="12" t="s">
        <v>31</v>
      </c>
      <c r="D82" s="12"/>
      <c r="E82" s="12"/>
      <c r="F82" s="52">
        <v>-88.2</v>
      </c>
      <c r="G82" s="12"/>
    </row>
    <row r="83" spans="2:8" ht="15" hidden="1" x14ac:dyDescent="0.25">
      <c r="B83" s="53">
        <v>41683</v>
      </c>
      <c r="C83" s="12" t="s">
        <v>33</v>
      </c>
      <c r="D83" s="12"/>
      <c r="E83" s="12"/>
      <c r="F83" s="52">
        <v>-16.97</v>
      </c>
      <c r="G83" s="12"/>
    </row>
    <row r="84" spans="2:8" ht="15" hidden="1" x14ac:dyDescent="0.25">
      <c r="B84" s="53">
        <v>41710</v>
      </c>
      <c r="C84" s="12" t="s">
        <v>34</v>
      </c>
      <c r="D84" s="12"/>
      <c r="E84" s="12"/>
      <c r="F84" s="52">
        <v>-91.58</v>
      </c>
      <c r="G84" s="12"/>
    </row>
    <row r="85" spans="2:8" ht="15" hidden="1" x14ac:dyDescent="0.25">
      <c r="B85" s="53">
        <v>41969</v>
      </c>
      <c r="C85" s="12" t="s">
        <v>14</v>
      </c>
      <c r="D85" s="12"/>
      <c r="E85" s="12"/>
      <c r="F85" s="52">
        <v>-88.74</v>
      </c>
      <c r="G85" s="12"/>
    </row>
    <row r="86" spans="2:8" ht="15" hidden="1" customHeight="1" x14ac:dyDescent="0.25">
      <c r="B86" s="53"/>
      <c r="C86" s="12"/>
      <c r="D86" s="12"/>
      <c r="E86" s="12"/>
      <c r="F86" s="52">
        <v>-11.5</v>
      </c>
      <c r="G86" s="12"/>
    </row>
    <row r="87" spans="2:8" ht="9" hidden="1" customHeight="1" x14ac:dyDescent="0.25">
      <c r="B87" s="56"/>
      <c r="C87" s="12"/>
      <c r="D87" s="12"/>
      <c r="E87" s="12"/>
      <c r="F87" s="27"/>
      <c r="G87" s="12"/>
    </row>
    <row r="88" spans="2:8" ht="14.25" customHeight="1" thickBot="1" x14ac:dyDescent="0.35">
      <c r="B88" s="85">
        <v>42004</v>
      </c>
      <c r="C88" s="82" t="s">
        <v>2</v>
      </c>
      <c r="D88" s="82"/>
      <c r="E88" s="82"/>
      <c r="F88" s="72">
        <f>SUM(F80:F87)</f>
        <v>767.14000000000021</v>
      </c>
      <c r="G88" s="12"/>
    </row>
    <row r="89" spans="2:8" ht="14.25" customHeight="1" x14ac:dyDescent="0.3">
      <c r="B89" s="110">
        <v>42278</v>
      </c>
      <c r="C89" s="88" t="s">
        <v>55</v>
      </c>
      <c r="D89" s="88"/>
      <c r="E89" s="88"/>
      <c r="F89" s="90">
        <f>-289.38</f>
        <v>-289.38</v>
      </c>
      <c r="G89" s="4"/>
      <c r="H89" s="116"/>
    </row>
    <row r="90" spans="2:8" ht="14.25" customHeight="1" x14ac:dyDescent="0.3">
      <c r="B90" s="111">
        <v>42307</v>
      </c>
      <c r="C90" s="96" t="s">
        <v>58</v>
      </c>
      <c r="D90" s="96"/>
      <c r="E90" s="96"/>
      <c r="F90" s="104">
        <f>-68.95</f>
        <v>-68.95</v>
      </c>
      <c r="G90" s="4"/>
    </row>
    <row r="91" spans="2:8" ht="14.25" customHeight="1" thickBot="1" x14ac:dyDescent="0.35">
      <c r="B91" s="112"/>
      <c r="C91" s="92" t="s">
        <v>61</v>
      </c>
      <c r="D91" s="92"/>
      <c r="E91" s="92"/>
      <c r="F91" s="94">
        <f>SUM(F88:F90)</f>
        <v>408.81000000000023</v>
      </c>
      <c r="G91" s="12"/>
    </row>
    <row r="92" spans="2:8" ht="16.5" customHeight="1" x14ac:dyDescent="0.3">
      <c r="B92" s="117"/>
      <c r="C92" s="118" t="s">
        <v>66</v>
      </c>
      <c r="D92" s="119"/>
      <c r="E92" s="119"/>
      <c r="F92" s="120">
        <v>0</v>
      </c>
      <c r="G92" s="12"/>
    </row>
    <row r="93" spans="2:8" ht="16.5" customHeight="1" x14ac:dyDescent="0.3">
      <c r="B93" s="121"/>
      <c r="C93" s="122" t="s">
        <v>64</v>
      </c>
      <c r="D93" s="123"/>
      <c r="E93" s="123"/>
      <c r="F93" s="124">
        <f>F91+F92</f>
        <v>408.81000000000023</v>
      </c>
      <c r="G93" s="12"/>
    </row>
    <row r="94" spans="2:8" ht="16.5" customHeight="1" thickBot="1" x14ac:dyDescent="0.35">
      <c r="B94" s="125"/>
      <c r="C94" s="126"/>
      <c r="D94" s="127"/>
      <c r="E94" s="127"/>
      <c r="F94" s="128"/>
      <c r="G94" s="12"/>
    </row>
    <row r="95" spans="2:8" ht="16.5" customHeight="1" x14ac:dyDescent="0.3">
      <c r="B95" s="13"/>
      <c r="C95" s="8"/>
      <c r="D95" s="8"/>
      <c r="E95" s="8"/>
      <c r="F95" s="8" t="s">
        <v>65</v>
      </c>
      <c r="G95" s="12"/>
    </row>
    <row r="96" spans="2:8" ht="18.75" customHeight="1" thickBot="1" x14ac:dyDescent="0.3">
      <c r="B96" s="13"/>
      <c r="C96" s="12"/>
      <c r="D96" s="12"/>
      <c r="E96" s="12"/>
      <c r="F96" s="14"/>
      <c r="G96" s="12"/>
    </row>
    <row r="97" spans="1:12" ht="20.25" customHeight="1" x14ac:dyDescent="0.25">
      <c r="B97" s="74">
        <v>2003</v>
      </c>
      <c r="C97" s="75" t="s">
        <v>39</v>
      </c>
      <c r="D97" s="75"/>
      <c r="E97" s="75"/>
      <c r="F97" s="76">
        <v>500</v>
      </c>
      <c r="G97" s="12"/>
    </row>
    <row r="98" spans="1:12" ht="4.5" hidden="1" customHeight="1" x14ac:dyDescent="0.25">
      <c r="B98" s="56"/>
      <c r="C98" s="12" t="s">
        <v>40</v>
      </c>
      <c r="D98" s="12"/>
      <c r="E98" s="12"/>
      <c r="F98" s="26">
        <v>0</v>
      </c>
      <c r="G98" s="12"/>
    </row>
    <row r="99" spans="1:12" ht="15.6" hidden="1" x14ac:dyDescent="0.3">
      <c r="B99" s="56">
        <v>42004</v>
      </c>
      <c r="C99" s="8" t="s">
        <v>2</v>
      </c>
      <c r="D99" s="8"/>
      <c r="E99" s="8"/>
      <c r="F99" s="28">
        <v>500</v>
      </c>
      <c r="G99" s="12"/>
    </row>
    <row r="100" spans="1:12" ht="6.75" hidden="1" customHeight="1" x14ac:dyDescent="0.25">
      <c r="B100" s="56"/>
      <c r="C100" s="12"/>
      <c r="D100" s="12"/>
      <c r="E100" s="12"/>
      <c r="F100" s="26"/>
      <c r="G100" s="12"/>
    </row>
    <row r="101" spans="1:12" ht="15" hidden="1" x14ac:dyDescent="0.25">
      <c r="B101" s="56" t="s">
        <v>42</v>
      </c>
      <c r="C101" s="12" t="s">
        <v>41</v>
      </c>
      <c r="D101" s="12"/>
      <c r="E101" s="12"/>
      <c r="F101" s="26">
        <v>-136.15</v>
      </c>
      <c r="G101" s="12"/>
    </row>
    <row r="102" spans="1:12" ht="15" hidden="1" x14ac:dyDescent="0.25">
      <c r="B102" s="56">
        <v>41653</v>
      </c>
      <c r="C102" s="12" t="s">
        <v>43</v>
      </c>
      <c r="D102" s="12"/>
      <c r="E102" s="12"/>
      <c r="F102" s="26">
        <v>-7.5</v>
      </c>
      <c r="G102" s="12"/>
    </row>
    <row r="103" spans="1:12" ht="15" hidden="1" x14ac:dyDescent="0.25">
      <c r="B103" s="77" t="s">
        <v>42</v>
      </c>
      <c r="C103" s="12" t="s">
        <v>44</v>
      </c>
      <c r="D103" s="12"/>
      <c r="E103" s="12"/>
      <c r="F103" s="26">
        <v>-35.4</v>
      </c>
      <c r="G103" s="12"/>
    </row>
    <row r="104" spans="1:12" ht="0.75" customHeight="1" thickBot="1" x14ac:dyDescent="0.3">
      <c r="B104" s="77"/>
      <c r="C104" s="12"/>
      <c r="D104" s="12"/>
      <c r="E104" s="12"/>
      <c r="F104" s="78"/>
      <c r="G104" s="12"/>
    </row>
    <row r="105" spans="1:12" ht="16.2" hidden="1" thickBot="1" x14ac:dyDescent="0.35">
      <c r="B105" s="85">
        <v>42004</v>
      </c>
      <c r="C105" s="82" t="s">
        <v>2</v>
      </c>
      <c r="D105" s="82"/>
      <c r="E105" s="82"/>
      <c r="F105" s="72">
        <f>SUM(F99:F103)</f>
        <v>320.95000000000005</v>
      </c>
      <c r="G105" s="12"/>
    </row>
    <row r="106" spans="1:12" ht="3" customHeight="1" x14ac:dyDescent="0.3">
      <c r="B106" s="97"/>
      <c r="C106" s="88" t="s">
        <v>54</v>
      </c>
      <c r="D106" s="88"/>
      <c r="E106" s="88"/>
      <c r="F106" s="90">
        <f>-15.2</f>
        <v>-15.2</v>
      </c>
      <c r="G106" s="4"/>
      <c r="L106">
        <f>'[3]begr res  15'!$C$30</f>
        <v>4803.51</v>
      </c>
    </row>
    <row r="107" spans="1:12" ht="15.6" hidden="1" x14ac:dyDescent="0.3">
      <c r="B107" s="113"/>
      <c r="C107" s="96" t="s">
        <v>56</v>
      </c>
      <c r="D107" s="96"/>
      <c r="E107" s="96"/>
      <c r="F107" s="104">
        <f>-11.9</f>
        <v>-11.9</v>
      </c>
      <c r="G107" s="4"/>
      <c r="I107" s="7" t="s">
        <v>56</v>
      </c>
      <c r="L107">
        <v>4780.2</v>
      </c>
    </row>
    <row r="108" spans="1:12" ht="15.6" hidden="1" x14ac:dyDescent="0.3">
      <c r="B108" s="105">
        <v>42186</v>
      </c>
      <c r="C108" s="96"/>
      <c r="D108" s="96"/>
      <c r="E108" s="96"/>
      <c r="F108" s="104">
        <f>-23.15</f>
        <v>-23.15</v>
      </c>
      <c r="G108" s="4"/>
      <c r="I108" s="7" t="s">
        <v>59</v>
      </c>
      <c r="L108">
        <f>L106-L107</f>
        <v>23.3100000000004</v>
      </c>
    </row>
    <row r="109" spans="1:12" ht="15.6" hidden="1" x14ac:dyDescent="0.3">
      <c r="B109" s="105">
        <v>42217</v>
      </c>
      <c r="C109" s="96"/>
      <c r="D109" s="96"/>
      <c r="E109" s="96"/>
      <c r="F109" s="104">
        <f>-10.35</f>
        <v>-10.35</v>
      </c>
      <c r="G109" s="4"/>
      <c r="I109" s="7" t="s">
        <v>56</v>
      </c>
    </row>
    <row r="110" spans="1:12" ht="15.6" hidden="1" x14ac:dyDescent="0.3">
      <c r="B110" s="105">
        <v>42248</v>
      </c>
      <c r="C110" s="96"/>
      <c r="D110" s="96"/>
      <c r="E110" s="96"/>
      <c r="F110" s="104">
        <f>-10.35</f>
        <v>-10.35</v>
      </c>
      <c r="G110" s="4"/>
    </row>
    <row r="111" spans="1:12" ht="15.6" hidden="1" x14ac:dyDescent="0.3">
      <c r="A111" s="106"/>
      <c r="B111" s="105">
        <v>42278</v>
      </c>
      <c r="C111" s="96"/>
      <c r="D111" s="96"/>
      <c r="E111" s="96"/>
      <c r="F111" s="104">
        <f>-10.35</f>
        <v>-10.35</v>
      </c>
      <c r="G111" s="4"/>
    </row>
    <row r="112" spans="1:12" ht="15.6" hidden="1" x14ac:dyDescent="0.3">
      <c r="A112" s="106"/>
      <c r="B112" s="105"/>
      <c r="C112" s="96"/>
      <c r="D112" s="96"/>
      <c r="E112" s="96"/>
      <c r="F112" s="104"/>
      <c r="G112" s="12"/>
    </row>
    <row r="113" spans="2:8" ht="16.2" hidden="1" thickBot="1" x14ac:dyDescent="0.35">
      <c r="B113" s="98"/>
      <c r="C113" s="92" t="s">
        <v>53</v>
      </c>
      <c r="D113" s="92"/>
      <c r="E113" s="92"/>
      <c r="F113" s="99">
        <f>SUM(F105:F112)</f>
        <v>239.65000000000009</v>
      </c>
      <c r="G113" s="12"/>
    </row>
    <row r="114" spans="2:8" ht="15.6" hidden="1" x14ac:dyDescent="0.3">
      <c r="B114" s="114" t="s">
        <v>57</v>
      </c>
      <c r="C114" s="96"/>
      <c r="D114" s="96"/>
      <c r="E114" s="96"/>
      <c r="F114" s="115">
        <f>-9.82</f>
        <v>-9.82</v>
      </c>
      <c r="G114" s="4"/>
    </row>
    <row r="115" spans="2:8" ht="15.6" hidden="1" x14ac:dyDescent="0.3">
      <c r="B115" s="114" t="s">
        <v>57</v>
      </c>
      <c r="C115" s="96"/>
      <c r="D115" s="96"/>
      <c r="E115" s="96"/>
      <c r="F115" s="115">
        <f>-0.67</f>
        <v>-0.67</v>
      </c>
      <c r="G115" s="4"/>
    </row>
    <row r="116" spans="2:8" ht="15.6" hidden="1" x14ac:dyDescent="0.3">
      <c r="B116" s="114"/>
      <c r="C116" s="96"/>
      <c r="D116" s="96"/>
      <c r="E116" s="96"/>
      <c r="F116" s="115">
        <f>-10.21</f>
        <v>-10.210000000000001</v>
      </c>
      <c r="G116" s="4"/>
      <c r="H116" s="225"/>
    </row>
    <row r="117" spans="2:8" ht="16.2" thickBot="1" x14ac:dyDescent="0.35">
      <c r="B117" s="114"/>
      <c r="C117" s="96" t="s">
        <v>60</v>
      </c>
      <c r="D117" s="96"/>
      <c r="E117" s="96"/>
      <c r="F117" s="115">
        <f>SUM(F113:F116)</f>
        <v>218.9500000000001</v>
      </c>
      <c r="G117" s="12"/>
      <c r="H117" s="116"/>
    </row>
    <row r="118" spans="2:8" ht="15" x14ac:dyDescent="0.25">
      <c r="B118" s="131">
        <v>42376</v>
      </c>
      <c r="C118" s="132" t="s">
        <v>67</v>
      </c>
      <c r="D118" s="133"/>
      <c r="E118" s="133"/>
      <c r="F118" s="134">
        <v>-10.35</v>
      </c>
      <c r="G118" s="12"/>
      <c r="H118" s="116"/>
    </row>
    <row r="119" spans="2:8" ht="15" x14ac:dyDescent="0.25">
      <c r="B119" s="135">
        <v>42403</v>
      </c>
      <c r="C119" s="136" t="str">
        <f>C118</f>
        <v>bankkosten</v>
      </c>
      <c r="D119" s="136"/>
      <c r="E119" s="136"/>
      <c r="F119" s="137">
        <v>-10.65</v>
      </c>
      <c r="G119" s="12"/>
      <c r="H119" s="116"/>
    </row>
    <row r="120" spans="2:8" ht="15" x14ac:dyDescent="0.25">
      <c r="B120" s="135">
        <v>42432</v>
      </c>
      <c r="C120" s="136" t="str">
        <f>C119</f>
        <v>bankkosten</v>
      </c>
      <c r="D120" s="136"/>
      <c r="E120" s="136"/>
      <c r="F120" s="137">
        <f>F119</f>
        <v>-10.65</v>
      </c>
      <c r="G120" s="12"/>
      <c r="H120" s="116"/>
    </row>
    <row r="121" spans="2:8" ht="15" x14ac:dyDescent="0.25">
      <c r="B121" s="135">
        <v>42465</v>
      </c>
      <c r="C121" s="136" t="str">
        <f>C120</f>
        <v>bankkosten</v>
      </c>
      <c r="D121" s="136"/>
      <c r="E121" s="136"/>
      <c r="F121" s="137">
        <f>F120</f>
        <v>-10.65</v>
      </c>
      <c r="G121" s="12"/>
      <c r="H121" s="116"/>
    </row>
    <row r="122" spans="2:8" ht="15" x14ac:dyDescent="0.25">
      <c r="B122" s="135">
        <v>42493</v>
      </c>
      <c r="C122" s="136" t="str">
        <f>C121</f>
        <v>bankkosten</v>
      </c>
      <c r="D122" s="136"/>
      <c r="E122" s="136"/>
      <c r="F122" s="137">
        <f>F121</f>
        <v>-10.65</v>
      </c>
      <c r="G122" s="12"/>
      <c r="H122" s="116"/>
    </row>
    <row r="123" spans="2:8" ht="15.6" thickBot="1" x14ac:dyDescent="0.3">
      <c r="B123" s="138"/>
      <c r="C123" s="136"/>
      <c r="D123" s="136"/>
      <c r="E123" s="136"/>
      <c r="F123" s="137"/>
      <c r="G123" s="12"/>
      <c r="H123" s="116"/>
    </row>
    <row r="124" spans="2:8" ht="16.2" thickBot="1" x14ac:dyDescent="0.35">
      <c r="B124" s="139"/>
      <c r="C124" s="140" t="s">
        <v>68</v>
      </c>
      <c r="D124" s="140"/>
      <c r="E124" s="140"/>
      <c r="F124" s="141">
        <f>SUM(F117:F123)</f>
        <v>166.00000000000009</v>
      </c>
      <c r="G124" s="12"/>
      <c r="H124" s="116"/>
    </row>
    <row r="125" spans="2:8" ht="15.6" thickBot="1" x14ac:dyDescent="0.3">
      <c r="B125" s="12"/>
      <c r="C125" s="12"/>
      <c r="D125" s="12"/>
      <c r="E125" s="12"/>
      <c r="F125" s="12"/>
      <c r="G125" s="12"/>
      <c r="H125" s="116"/>
    </row>
    <row r="126" spans="2:8" ht="15" x14ac:dyDescent="0.25">
      <c r="B126" s="79">
        <v>41687</v>
      </c>
      <c r="C126" s="75" t="s">
        <v>45</v>
      </c>
      <c r="D126" s="75"/>
      <c r="E126" s="75"/>
      <c r="F126" s="76">
        <v>1000</v>
      </c>
      <c r="G126" s="12"/>
    </row>
    <row r="127" spans="2:8" ht="15" x14ac:dyDescent="0.25">
      <c r="B127" s="77"/>
      <c r="C127" s="12" t="s">
        <v>46</v>
      </c>
      <c r="D127" s="12"/>
      <c r="E127" s="12"/>
      <c r="F127" s="26">
        <v>1084</v>
      </c>
      <c r="G127" s="12"/>
    </row>
    <row r="128" spans="2:8" ht="15" x14ac:dyDescent="0.25">
      <c r="B128" s="23"/>
      <c r="C128" s="12" t="s">
        <v>47</v>
      </c>
      <c r="F128" s="26">
        <v>0</v>
      </c>
    </row>
    <row r="129" spans="2:6" ht="15" x14ac:dyDescent="0.25">
      <c r="B129" s="23"/>
      <c r="C129" s="12"/>
      <c r="F129" s="26"/>
    </row>
    <row r="130" spans="2:6" ht="16.2" thickBot="1" x14ac:dyDescent="0.35">
      <c r="B130" s="85">
        <v>42004</v>
      </c>
      <c r="C130" s="82" t="s">
        <v>2</v>
      </c>
      <c r="D130" s="86"/>
      <c r="E130" s="86"/>
      <c r="F130" s="72">
        <f>SUM(F126:F129)</f>
        <v>2084</v>
      </c>
    </row>
    <row r="131" spans="2:6" ht="16.2" thickBot="1" x14ac:dyDescent="0.35">
      <c r="B131" s="96">
        <v>2015</v>
      </c>
      <c r="C131" s="96" t="s">
        <v>62</v>
      </c>
      <c r="D131" s="96"/>
      <c r="E131" s="96"/>
      <c r="F131" s="104">
        <v>0</v>
      </c>
    </row>
    <row r="132" spans="2:6" ht="16.2" thickBot="1" x14ac:dyDescent="0.35">
      <c r="B132" s="97"/>
      <c r="C132" s="88" t="s">
        <v>61</v>
      </c>
      <c r="D132" s="88"/>
      <c r="E132" s="88"/>
      <c r="F132" s="145">
        <f>F130+F131</f>
        <v>2084</v>
      </c>
    </row>
    <row r="133" spans="2:6" ht="13.8" thickBot="1" x14ac:dyDescent="0.3">
      <c r="B133" s="146">
        <v>2016</v>
      </c>
      <c r="C133" s="147" t="s">
        <v>125</v>
      </c>
      <c r="D133" s="148"/>
      <c r="E133" s="148"/>
      <c r="F133" s="149">
        <v>0</v>
      </c>
    </row>
    <row r="134" spans="2:6" ht="16.2" thickBot="1" x14ac:dyDescent="0.35">
      <c r="B134" s="142"/>
      <c r="C134" s="143" t="s">
        <v>68</v>
      </c>
      <c r="D134" s="143"/>
      <c r="E134" s="143"/>
      <c r="F134" s="144">
        <f>F132+F133</f>
        <v>2084</v>
      </c>
    </row>
    <row r="135" spans="2:6" x14ac:dyDescent="0.25">
      <c r="F135" s="7"/>
    </row>
  </sheetData>
  <phoneticPr fontId="0" type="noConversion"/>
  <pageMargins left="0.78740157480314965" right="0.78740157480314965" top="0.39370078740157483" bottom="0.39370078740157483" header="0" footer="0"/>
  <pageSetup paperSize="9" scale="63" orientation="portrait" horizontalDpi="300" verticalDpi="300" r:id="rId1"/>
  <headerFooter alignWithMargins="0"/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81799-F1F9-44F6-8FA0-41CD7E706AF1}">
  <sheetPr>
    <pageSetUpPr fitToPage="1"/>
  </sheetPr>
  <dimension ref="A1:J173"/>
  <sheetViews>
    <sheetView workbookViewId="0">
      <selection activeCell="I18" sqref="I18"/>
    </sheetView>
  </sheetViews>
  <sheetFormatPr defaultRowHeight="13.2" x14ac:dyDescent="0.25"/>
  <cols>
    <col min="2" max="2" width="14.88671875" customWidth="1"/>
    <col min="3" max="3" width="13.77734375" customWidth="1"/>
    <col min="4" max="4" width="13.44140625" customWidth="1"/>
    <col min="5" max="6" width="17.6640625" customWidth="1"/>
    <col min="7" max="7" width="3.88671875" customWidth="1"/>
    <col min="8" max="8" width="17.109375" customWidth="1"/>
    <col min="9" max="9" width="18.5546875" customWidth="1"/>
  </cols>
  <sheetData>
    <row r="1" spans="1:9" ht="21" x14ac:dyDescent="0.4">
      <c r="B1" s="150" t="s">
        <v>704</v>
      </c>
    </row>
    <row r="2" spans="1:9" ht="17.399999999999999" x14ac:dyDescent="0.3">
      <c r="B2" s="250">
        <f>'31 dec 2024'!C4</f>
        <v>45657</v>
      </c>
    </row>
    <row r="4" spans="1:9" ht="13.8" thickBot="1" x14ac:dyDescent="0.3"/>
    <row r="5" spans="1:9" ht="16.2" thickBot="1" x14ac:dyDescent="0.35">
      <c r="B5" s="382" t="s">
        <v>600</v>
      </c>
      <c r="C5" s="156"/>
      <c r="D5" s="156"/>
      <c r="E5" s="199" t="s">
        <v>112</v>
      </c>
      <c r="F5" s="383"/>
    </row>
    <row r="6" spans="1:9" ht="16.2" thickBot="1" x14ac:dyDescent="0.35">
      <c r="B6" s="826" t="s">
        <v>712</v>
      </c>
      <c r="C6" s="827"/>
      <c r="D6" s="827"/>
      <c r="E6" s="828"/>
      <c r="F6" s="829"/>
      <c r="I6" s="193"/>
    </row>
    <row r="7" spans="1:9" ht="15.6" x14ac:dyDescent="0.3">
      <c r="B7" s="417"/>
      <c r="C7" s="8"/>
      <c r="D7" s="8"/>
      <c r="E7" s="12"/>
      <c r="F7" s="202"/>
      <c r="I7" s="193"/>
    </row>
    <row r="8" spans="1:9" ht="16.2" thickBot="1" x14ac:dyDescent="0.35">
      <c r="B8" s="417"/>
      <c r="C8" s="8"/>
      <c r="D8" s="8"/>
      <c r="E8" s="12"/>
      <c r="F8" s="202"/>
      <c r="I8" s="193"/>
    </row>
    <row r="9" spans="1:9" x14ac:dyDescent="0.25">
      <c r="B9" s="368" t="s">
        <v>131</v>
      </c>
      <c r="C9" s="369"/>
      <c r="D9" s="369"/>
      <c r="E9" s="369"/>
      <c r="F9" s="370"/>
      <c r="I9" s="116"/>
    </row>
    <row r="10" spans="1:9" ht="16.2" thickBot="1" x14ac:dyDescent="0.35">
      <c r="A10" s="168"/>
      <c r="B10" s="747" t="s">
        <v>83</v>
      </c>
      <c r="C10" s="748"/>
      <c r="D10" s="162"/>
      <c r="E10" s="749" t="s">
        <v>115</v>
      </c>
      <c r="F10" s="178"/>
      <c r="I10" s="116"/>
    </row>
    <row r="11" spans="1:9" ht="16.2" thickBot="1" x14ac:dyDescent="0.35">
      <c r="B11" s="98">
        <v>44926</v>
      </c>
      <c r="C11" s="92" t="s">
        <v>2</v>
      </c>
      <c r="D11" s="92"/>
      <c r="E11" s="509"/>
      <c r="F11" s="99">
        <v>10864.53</v>
      </c>
      <c r="H11" s="116">
        <v>10864.53</v>
      </c>
    </row>
    <row r="12" spans="1:9" ht="15.6" x14ac:dyDescent="0.3">
      <c r="B12" s="589"/>
      <c r="C12" s="590" t="s">
        <v>667</v>
      </c>
      <c r="D12" s="590"/>
      <c r="E12" s="591"/>
      <c r="F12" s="449"/>
      <c r="H12" s="116"/>
    </row>
    <row r="13" spans="1:9" ht="15.6" x14ac:dyDescent="0.3">
      <c r="B13" s="387">
        <v>45197</v>
      </c>
      <c r="C13" s="170" t="s">
        <v>685</v>
      </c>
      <c r="D13" s="170"/>
      <c r="E13" s="165"/>
      <c r="F13" s="210">
        <v>-154.28</v>
      </c>
      <c r="H13" s="420"/>
    </row>
    <row r="14" spans="1:9" ht="15.6" x14ac:dyDescent="0.3">
      <c r="B14" s="387">
        <v>45214</v>
      </c>
      <c r="C14" s="170" t="s">
        <v>686</v>
      </c>
      <c r="D14" s="170"/>
      <c r="E14" s="165"/>
      <c r="F14" s="210">
        <v>-290.5</v>
      </c>
      <c r="H14" s="420"/>
    </row>
    <row r="15" spans="1:9" ht="15.6" x14ac:dyDescent="0.3">
      <c r="B15" s="387">
        <v>45224</v>
      </c>
      <c r="C15" s="170" t="s">
        <v>687</v>
      </c>
      <c r="D15" s="170"/>
      <c r="E15" s="165"/>
      <c r="F15" s="210">
        <v>-81.75</v>
      </c>
      <c r="H15" s="420"/>
    </row>
    <row r="16" spans="1:9" ht="15.6" x14ac:dyDescent="0.3">
      <c r="B16" s="387">
        <v>45234</v>
      </c>
      <c r="C16" s="170" t="s">
        <v>690</v>
      </c>
      <c r="D16" s="170"/>
      <c r="E16" s="165"/>
      <c r="F16" s="210">
        <v>-117.62</v>
      </c>
      <c r="H16" s="420"/>
    </row>
    <row r="17" spans="1:8" ht="15.6" x14ac:dyDescent="0.3">
      <c r="B17" s="228"/>
      <c r="C17" s="170"/>
      <c r="D17" s="170"/>
      <c r="E17" s="165"/>
      <c r="F17" s="217"/>
      <c r="H17" s="116"/>
    </row>
    <row r="18" spans="1:8" ht="15.6" x14ac:dyDescent="0.3">
      <c r="B18" s="671"/>
      <c r="C18" s="664" t="s">
        <v>668</v>
      </c>
      <c r="D18" s="664"/>
      <c r="E18" s="664"/>
      <c r="F18" s="672">
        <f>SUM(F13:F17)</f>
        <v>-644.15</v>
      </c>
      <c r="H18" s="116"/>
    </row>
    <row r="19" spans="1:8" ht="15.6" x14ac:dyDescent="0.3">
      <c r="B19" s="387"/>
      <c r="C19" s="170" t="s">
        <v>669</v>
      </c>
      <c r="D19" s="170"/>
      <c r="E19" s="165"/>
      <c r="F19" s="210"/>
      <c r="H19" s="116"/>
    </row>
    <row r="20" spans="1:8" ht="15.6" x14ac:dyDescent="0.3">
      <c r="B20" s="387">
        <v>44927</v>
      </c>
      <c r="C20" s="170" t="s">
        <v>59</v>
      </c>
      <c r="D20" s="170"/>
      <c r="E20" s="165"/>
      <c r="F20" s="210">
        <v>3.37</v>
      </c>
      <c r="H20" s="800" t="s">
        <v>376</v>
      </c>
    </row>
    <row r="21" spans="1:8" ht="15.6" x14ac:dyDescent="0.3">
      <c r="B21" s="387"/>
      <c r="C21" s="170"/>
      <c r="D21" s="170"/>
      <c r="E21" s="165"/>
      <c r="F21" s="210"/>
      <c r="H21" s="116"/>
    </row>
    <row r="22" spans="1:8" ht="15.6" x14ac:dyDescent="0.3">
      <c r="B22" s="795"/>
      <c r="C22" s="665" t="s">
        <v>670</v>
      </c>
      <c r="D22" s="665"/>
      <c r="E22" s="665"/>
      <c r="F22" s="672">
        <f>SUM(F20:F21)</f>
        <v>3.37</v>
      </c>
      <c r="H22" s="116"/>
    </row>
    <row r="23" spans="1:8" ht="16.2" thickBot="1" x14ac:dyDescent="0.35">
      <c r="B23" s="98">
        <v>45291</v>
      </c>
      <c r="C23" s="92" t="s">
        <v>2</v>
      </c>
      <c r="D23" s="92"/>
      <c r="E23" s="509"/>
      <c r="F23" s="99">
        <f>F11+F18+F22</f>
        <v>10223.750000000002</v>
      </c>
      <c r="H23" s="116"/>
    </row>
    <row r="24" spans="1:8" ht="15.6" x14ac:dyDescent="0.3">
      <c r="B24" s="589"/>
      <c r="C24" s="590" t="s">
        <v>714</v>
      </c>
      <c r="D24" s="590"/>
      <c r="E24" s="591"/>
      <c r="F24" s="449"/>
      <c r="H24" s="116"/>
    </row>
    <row r="25" spans="1:8" ht="15.6" x14ac:dyDescent="0.3">
      <c r="B25" s="387"/>
      <c r="C25" s="170"/>
      <c r="D25" s="170"/>
      <c r="E25" s="165"/>
      <c r="F25" s="210"/>
      <c r="H25" s="116"/>
    </row>
    <row r="26" spans="1:8" ht="15.6" x14ac:dyDescent="0.3">
      <c r="B26" s="387"/>
      <c r="C26" s="170"/>
      <c r="D26" s="170"/>
      <c r="E26" s="165"/>
      <c r="F26" s="210"/>
      <c r="H26" s="116"/>
    </row>
    <row r="27" spans="1:8" ht="15.6" x14ac:dyDescent="0.3">
      <c r="B27" s="671"/>
      <c r="C27" s="664" t="s">
        <v>715</v>
      </c>
      <c r="D27" s="664"/>
      <c r="E27" s="664"/>
      <c r="F27" s="672">
        <f>SUM(F24)</f>
        <v>0</v>
      </c>
      <c r="H27" s="116"/>
    </row>
    <row r="28" spans="1:8" ht="15.6" x14ac:dyDescent="0.3">
      <c r="B28" s="387"/>
      <c r="C28" s="170" t="s">
        <v>716</v>
      </c>
      <c r="D28" s="170"/>
      <c r="E28" s="165"/>
      <c r="F28" s="210"/>
      <c r="H28" s="116"/>
    </row>
    <row r="29" spans="1:8" ht="15.6" x14ac:dyDescent="0.3">
      <c r="A29" s="168"/>
      <c r="B29" s="387">
        <v>45292</v>
      </c>
      <c r="C29" s="170" t="s">
        <v>59</v>
      </c>
      <c r="D29" s="170"/>
      <c r="E29" s="165"/>
      <c r="F29" s="210">
        <v>112.38</v>
      </c>
      <c r="H29" s="836" t="s">
        <v>376</v>
      </c>
    </row>
    <row r="30" spans="1:8" ht="15.6" x14ac:dyDescent="0.3">
      <c r="B30" s="387"/>
      <c r="C30" s="170"/>
      <c r="D30" s="170"/>
      <c r="E30" s="165"/>
      <c r="F30" s="210"/>
      <c r="H30" s="116"/>
    </row>
    <row r="31" spans="1:8" ht="15.6" x14ac:dyDescent="0.3">
      <c r="B31" s="795"/>
      <c r="C31" s="665" t="s">
        <v>717</v>
      </c>
      <c r="D31" s="665"/>
      <c r="E31" s="665"/>
      <c r="F31" s="672">
        <f>SUM(F29:F30)</f>
        <v>112.38</v>
      </c>
      <c r="H31" s="116"/>
    </row>
    <row r="32" spans="1:8" ht="16.2" thickBot="1" x14ac:dyDescent="0.35">
      <c r="B32" s="98">
        <f>B2</f>
        <v>45657</v>
      </c>
      <c r="C32" s="92" t="s">
        <v>2</v>
      </c>
      <c r="D32" s="92"/>
      <c r="E32" s="509"/>
      <c r="F32" s="99">
        <f>F23+F27++F31</f>
        <v>10336.130000000001</v>
      </c>
      <c r="H32" s="116"/>
    </row>
    <row r="33" spans="1:10" ht="15.6" x14ac:dyDescent="0.3">
      <c r="B33" s="417"/>
      <c r="C33" s="8"/>
      <c r="D33" s="8"/>
      <c r="E33" s="12"/>
      <c r="F33" s="202"/>
      <c r="H33" s="116"/>
    </row>
    <row r="34" spans="1:10" ht="15.6" x14ac:dyDescent="0.3">
      <c r="B34" s="417"/>
      <c r="C34" s="8"/>
      <c r="D34" s="8"/>
      <c r="E34" s="12"/>
      <c r="F34" s="202"/>
      <c r="H34" s="116"/>
    </row>
    <row r="35" spans="1:10" ht="16.2" thickBot="1" x14ac:dyDescent="0.35">
      <c r="B35" s="417"/>
      <c r="C35" s="8"/>
      <c r="D35" s="8"/>
      <c r="E35" s="12"/>
      <c r="F35" s="202"/>
      <c r="H35" s="116"/>
    </row>
    <row r="36" spans="1:10" ht="15.6" x14ac:dyDescent="0.3">
      <c r="A36" s="168"/>
      <c r="B36" s="223" t="s">
        <v>88</v>
      </c>
      <c r="C36" s="182"/>
      <c r="D36" s="182"/>
      <c r="E36" s="393" t="s">
        <v>116</v>
      </c>
      <c r="F36" s="394"/>
    </row>
    <row r="37" spans="1:10" ht="16.2" thickBot="1" x14ac:dyDescent="0.35">
      <c r="B37" s="98">
        <v>44926</v>
      </c>
      <c r="C37" s="92" t="s">
        <v>2</v>
      </c>
      <c r="D37" s="92"/>
      <c r="E37" s="509"/>
      <c r="F37" s="99">
        <v>3183.15</v>
      </c>
      <c r="H37">
        <v>3183.15</v>
      </c>
    </row>
    <row r="38" spans="1:10" ht="15.6" x14ac:dyDescent="0.3">
      <c r="B38" s="589"/>
      <c r="C38" s="590" t="s">
        <v>667</v>
      </c>
      <c r="D38" s="590"/>
      <c r="E38" s="591"/>
      <c r="F38" s="449"/>
    </row>
    <row r="39" spans="1:10" ht="15.6" x14ac:dyDescent="0.3">
      <c r="B39" s="387">
        <v>44944</v>
      </c>
      <c r="C39" s="170" t="s">
        <v>675</v>
      </c>
      <c r="D39" s="170"/>
      <c r="E39" s="165"/>
      <c r="F39" s="210">
        <v>-756.25</v>
      </c>
      <c r="H39" s="802" t="s">
        <v>664</v>
      </c>
      <c r="J39" s="95"/>
    </row>
    <row r="40" spans="1:10" ht="15.6" x14ac:dyDescent="0.3">
      <c r="B40" s="387">
        <v>45005</v>
      </c>
      <c r="C40" s="170" t="s">
        <v>674</v>
      </c>
      <c r="D40" s="170"/>
      <c r="E40" s="165"/>
      <c r="F40" s="210">
        <v>-2541</v>
      </c>
      <c r="H40" s="802" t="s">
        <v>664</v>
      </c>
      <c r="J40" s="95"/>
    </row>
    <row r="41" spans="1:10" ht="15.6" x14ac:dyDescent="0.3">
      <c r="B41" s="387">
        <v>45102</v>
      </c>
      <c r="C41" s="170" t="s">
        <v>678</v>
      </c>
      <c r="D41" s="170"/>
      <c r="E41" s="165"/>
      <c r="F41" s="210">
        <v>-242</v>
      </c>
      <c r="H41" s="802" t="s">
        <v>664</v>
      </c>
      <c r="J41" s="95"/>
    </row>
    <row r="42" spans="1:10" ht="15.6" x14ac:dyDescent="0.3">
      <c r="B42" s="387">
        <v>45102</v>
      </c>
      <c r="C42" s="170" t="s">
        <v>677</v>
      </c>
      <c r="D42" s="170"/>
      <c r="E42" s="165"/>
      <c r="F42" s="210">
        <v>-3050.19</v>
      </c>
      <c r="H42" s="802" t="s">
        <v>664</v>
      </c>
      <c r="J42" s="95"/>
    </row>
    <row r="43" spans="1:10" ht="15.6" x14ac:dyDescent="0.3">
      <c r="B43" s="387"/>
      <c r="C43" s="170"/>
      <c r="D43" s="170"/>
      <c r="E43" s="165"/>
      <c r="F43" s="210"/>
    </row>
    <row r="44" spans="1:10" ht="15.6" x14ac:dyDescent="0.3">
      <c r="B44" s="671"/>
      <c r="C44" s="664" t="s">
        <v>668</v>
      </c>
      <c r="D44" s="664"/>
      <c r="E44" s="664"/>
      <c r="F44" s="672">
        <f>SUM(F39:F43)</f>
        <v>-6589.4400000000005</v>
      </c>
    </row>
    <row r="45" spans="1:10" ht="15.6" x14ac:dyDescent="0.3">
      <c r="B45" s="387"/>
      <c r="C45" s="170" t="s">
        <v>669</v>
      </c>
      <c r="D45" s="170"/>
      <c r="E45" s="165"/>
      <c r="F45" s="210"/>
    </row>
    <row r="46" spans="1:10" ht="15.6" x14ac:dyDescent="0.3">
      <c r="B46" s="387">
        <v>45000</v>
      </c>
      <c r="C46" s="170" t="s">
        <v>673</v>
      </c>
      <c r="D46" s="170"/>
      <c r="E46" s="165"/>
      <c r="F46" s="210">
        <v>3000</v>
      </c>
      <c r="H46" s="800" t="s">
        <v>376</v>
      </c>
      <c r="J46" s="95"/>
    </row>
    <row r="47" spans="1:10" ht="15.6" x14ac:dyDescent="0.3">
      <c r="B47" s="387">
        <v>45224</v>
      </c>
      <c r="C47" s="170" t="s">
        <v>689</v>
      </c>
      <c r="D47" s="170"/>
      <c r="E47" s="165"/>
      <c r="F47" s="210">
        <v>1376</v>
      </c>
      <c r="H47" s="800" t="s">
        <v>376</v>
      </c>
      <c r="J47" s="95"/>
    </row>
    <row r="48" spans="1:10" ht="15.6" x14ac:dyDescent="0.3">
      <c r="B48" s="387"/>
      <c r="C48" s="170"/>
      <c r="D48" s="170"/>
      <c r="E48" s="165"/>
      <c r="F48" s="210"/>
    </row>
    <row r="49" spans="1:6" ht="15.6" x14ac:dyDescent="0.3">
      <c r="B49" s="795"/>
      <c r="C49" s="665" t="s">
        <v>670</v>
      </c>
      <c r="D49" s="665"/>
      <c r="E49" s="665"/>
      <c r="F49" s="672">
        <f>SUM(F46:F48)</f>
        <v>4376</v>
      </c>
    </row>
    <row r="50" spans="1:6" ht="16.2" thickBot="1" x14ac:dyDescent="0.35">
      <c r="B50" s="98">
        <f>'31 dec 2023'!C4</f>
        <v>45291</v>
      </c>
      <c r="C50" s="92" t="s">
        <v>2</v>
      </c>
      <c r="D50" s="92"/>
      <c r="E50" s="509"/>
      <c r="F50" s="99">
        <f>F37+F44+F49</f>
        <v>969.70999999999958</v>
      </c>
    </row>
    <row r="51" spans="1:6" ht="15.6" x14ac:dyDescent="0.3">
      <c r="B51" s="589"/>
      <c r="C51" s="590" t="s">
        <v>714</v>
      </c>
      <c r="D51" s="590"/>
      <c r="E51" s="591"/>
      <c r="F51" s="449"/>
    </row>
    <row r="52" spans="1:6" ht="15.6" x14ac:dyDescent="0.3">
      <c r="B52" s="387"/>
      <c r="C52" s="170"/>
      <c r="D52" s="170"/>
      <c r="E52" s="165"/>
      <c r="F52" s="210"/>
    </row>
    <row r="53" spans="1:6" ht="15.6" x14ac:dyDescent="0.3">
      <c r="B53" s="387"/>
      <c r="C53" s="170"/>
      <c r="D53" s="170"/>
      <c r="E53" s="165"/>
      <c r="F53" s="210"/>
    </row>
    <row r="54" spans="1:6" ht="15.6" x14ac:dyDescent="0.3">
      <c r="B54" s="671"/>
      <c r="C54" s="664" t="s">
        <v>715</v>
      </c>
      <c r="D54" s="664"/>
      <c r="E54" s="664"/>
      <c r="F54" s="672">
        <f>SUM(F51)</f>
        <v>0</v>
      </c>
    </row>
    <row r="55" spans="1:6" ht="15.6" x14ac:dyDescent="0.3">
      <c r="B55" s="387"/>
      <c r="C55" s="170" t="s">
        <v>716</v>
      </c>
      <c r="D55" s="170"/>
      <c r="E55" s="165"/>
      <c r="F55" s="210"/>
    </row>
    <row r="56" spans="1:6" ht="15.6" x14ac:dyDescent="0.3">
      <c r="B56" s="387"/>
      <c r="C56" s="170"/>
      <c r="D56" s="170"/>
      <c r="E56" s="165"/>
      <c r="F56" s="210"/>
    </row>
    <row r="57" spans="1:6" ht="15.6" x14ac:dyDescent="0.3">
      <c r="B57" s="795"/>
      <c r="C57" s="665" t="s">
        <v>717</v>
      </c>
      <c r="D57" s="665"/>
      <c r="E57" s="665"/>
      <c r="F57" s="672">
        <f>SUM(F56:F56)</f>
        <v>0</v>
      </c>
    </row>
    <row r="58" spans="1:6" ht="16.2" thickBot="1" x14ac:dyDescent="0.35">
      <c r="B58" s="98">
        <f>B2</f>
        <v>45657</v>
      </c>
      <c r="C58" s="92" t="s">
        <v>2</v>
      </c>
      <c r="D58" s="92"/>
      <c r="E58" s="509"/>
      <c r="F58" s="99">
        <f>F50+F54++F57</f>
        <v>969.70999999999958</v>
      </c>
    </row>
    <row r="59" spans="1:6" ht="16.2" thickBot="1" x14ac:dyDescent="0.35">
      <c r="B59" s="417"/>
      <c r="C59" s="8"/>
      <c r="D59" s="8"/>
      <c r="E59" s="12"/>
      <c r="F59" s="202"/>
    </row>
    <row r="60" spans="1:6" ht="15.6" x14ac:dyDescent="0.3">
      <c r="A60" s="168"/>
      <c r="B60" s="223" t="s">
        <v>735</v>
      </c>
      <c r="C60" s="182"/>
      <c r="D60" s="182"/>
      <c r="E60" s="393" t="s">
        <v>117</v>
      </c>
      <c r="F60" s="394"/>
    </row>
    <row r="61" spans="1:6" ht="16.2" thickBot="1" x14ac:dyDescent="0.35">
      <c r="B61" s="98">
        <v>45291</v>
      </c>
      <c r="C61" s="92" t="s">
        <v>2</v>
      </c>
      <c r="D61" s="92"/>
      <c r="E61" s="509"/>
      <c r="F61" s="99">
        <v>0</v>
      </c>
    </row>
    <row r="62" spans="1:6" ht="15.6" x14ac:dyDescent="0.3">
      <c r="B62" s="589"/>
      <c r="C62" s="590" t="s">
        <v>714</v>
      </c>
      <c r="D62" s="590"/>
      <c r="E62" s="591"/>
      <c r="F62" s="449"/>
    </row>
    <row r="63" spans="1:6" ht="15.6" x14ac:dyDescent="0.3">
      <c r="B63" s="387"/>
      <c r="C63" s="170"/>
      <c r="D63" s="170"/>
      <c r="E63" s="165"/>
      <c r="F63" s="210"/>
    </row>
    <row r="64" spans="1:6" ht="15.6" x14ac:dyDescent="0.3">
      <c r="B64" s="387"/>
      <c r="C64" s="170"/>
      <c r="D64" s="170"/>
      <c r="E64" s="165"/>
      <c r="F64" s="210"/>
    </row>
    <row r="65" spans="1:8" ht="15.6" x14ac:dyDescent="0.3">
      <c r="B65" s="671"/>
      <c r="C65" s="664" t="s">
        <v>715</v>
      </c>
      <c r="D65" s="664"/>
      <c r="E65" s="664"/>
      <c r="F65" s="672">
        <f>SUM(F62)</f>
        <v>0</v>
      </c>
    </row>
    <row r="66" spans="1:8" ht="15.6" x14ac:dyDescent="0.3">
      <c r="B66" s="387"/>
      <c r="C66" s="170" t="s">
        <v>716</v>
      </c>
      <c r="D66" s="170"/>
      <c r="E66" s="165"/>
      <c r="F66" s="210"/>
    </row>
    <row r="67" spans="1:8" ht="15.6" x14ac:dyDescent="0.3">
      <c r="A67" s="168"/>
      <c r="B67" s="387">
        <v>45352</v>
      </c>
      <c r="C67" s="170" t="s">
        <v>728</v>
      </c>
      <c r="D67" s="170"/>
      <c r="E67" s="165"/>
      <c r="F67" s="210">
        <v>5000</v>
      </c>
      <c r="H67" s="837" t="s">
        <v>376</v>
      </c>
    </row>
    <row r="68" spans="1:8" ht="15.6" x14ac:dyDescent="0.3">
      <c r="B68" s="387"/>
      <c r="C68" s="170"/>
      <c r="D68" s="170"/>
      <c r="E68" s="165"/>
      <c r="F68" s="210"/>
    </row>
    <row r="69" spans="1:8" ht="15.6" x14ac:dyDescent="0.3">
      <c r="B69" s="795"/>
      <c r="C69" s="665" t="s">
        <v>717</v>
      </c>
      <c r="D69" s="665"/>
      <c r="E69" s="665"/>
      <c r="F69" s="672">
        <f>SUM(F67:F68)</f>
        <v>5000</v>
      </c>
    </row>
    <row r="70" spans="1:8" ht="16.2" thickBot="1" x14ac:dyDescent="0.35">
      <c r="B70" s="98">
        <f>B2</f>
        <v>45657</v>
      </c>
      <c r="C70" s="92" t="s">
        <v>2</v>
      </c>
      <c r="D70" s="92"/>
      <c r="E70" s="509"/>
      <c r="F70" s="99">
        <f>F61+F65++F69</f>
        <v>5000</v>
      </c>
    </row>
    <row r="71" spans="1:8" ht="15.6" x14ac:dyDescent="0.3">
      <c r="B71" s="416"/>
      <c r="C71" s="8"/>
      <c r="D71" s="8"/>
      <c r="E71" s="12"/>
      <c r="F71" s="418"/>
    </row>
    <row r="72" spans="1:8" ht="16.2" thickBot="1" x14ac:dyDescent="0.35">
      <c r="B72" s="416"/>
      <c r="C72" s="8"/>
      <c r="D72" s="8"/>
      <c r="E72" s="12"/>
      <c r="F72" s="418"/>
    </row>
    <row r="73" spans="1:8" ht="15.6" x14ac:dyDescent="0.3">
      <c r="A73" s="168"/>
      <c r="B73" s="223" t="s">
        <v>226</v>
      </c>
      <c r="C73" s="182"/>
      <c r="D73" s="182"/>
      <c r="E73" s="397" t="s">
        <v>141</v>
      </c>
      <c r="F73" s="394"/>
    </row>
    <row r="74" spans="1:8" ht="16.2" thickBot="1" x14ac:dyDescent="0.35">
      <c r="B74" s="98">
        <v>44926</v>
      </c>
      <c r="C74" s="92" t="s">
        <v>2</v>
      </c>
      <c r="D74" s="92"/>
      <c r="E74" s="509"/>
      <c r="F74" s="99">
        <v>2849.88</v>
      </c>
      <c r="H74">
        <v>2849.88</v>
      </c>
    </row>
    <row r="75" spans="1:8" ht="15.6" x14ac:dyDescent="0.3">
      <c r="B75" s="589"/>
      <c r="C75" s="590" t="s">
        <v>667</v>
      </c>
      <c r="D75" s="590"/>
      <c r="E75" s="591"/>
      <c r="F75" s="449"/>
    </row>
    <row r="76" spans="1:8" ht="15.6" x14ac:dyDescent="0.3">
      <c r="B76" s="387">
        <v>45108</v>
      </c>
      <c r="C76" s="228" t="s">
        <v>707</v>
      </c>
      <c r="D76" s="228"/>
      <c r="E76" s="228"/>
      <c r="F76" s="820">
        <v>-2274</v>
      </c>
      <c r="H76" t="s">
        <v>376</v>
      </c>
    </row>
    <row r="77" spans="1:8" ht="15.6" x14ac:dyDescent="0.3">
      <c r="B77" s="387"/>
      <c r="C77" s="228" t="s">
        <v>708</v>
      </c>
      <c r="D77" s="228"/>
      <c r="E77" s="228"/>
      <c r="F77" s="228"/>
    </row>
    <row r="78" spans="1:8" ht="15.6" x14ac:dyDescent="0.3">
      <c r="B78" s="671"/>
      <c r="C78" s="664" t="s">
        <v>668</v>
      </c>
      <c r="D78" s="664"/>
      <c r="E78" s="664"/>
      <c r="F78" s="672">
        <f>F76</f>
        <v>-2274</v>
      </c>
    </row>
    <row r="79" spans="1:8" ht="15.6" x14ac:dyDescent="0.3">
      <c r="B79" s="387"/>
      <c r="C79" s="170" t="s">
        <v>669</v>
      </c>
      <c r="D79" s="170"/>
      <c r="E79" s="165"/>
      <c r="F79" s="210"/>
    </row>
    <row r="80" spans="1:8" ht="15.6" x14ac:dyDescent="0.3">
      <c r="B80" s="387">
        <v>45078</v>
      </c>
      <c r="C80" s="170" t="s">
        <v>676</v>
      </c>
      <c r="D80" s="170"/>
      <c r="E80" s="165"/>
      <c r="F80" s="210">
        <v>14</v>
      </c>
      <c r="H80" s="800" t="s">
        <v>376</v>
      </c>
    </row>
    <row r="81" spans="2:6" ht="15.6" x14ac:dyDescent="0.3">
      <c r="B81" s="387"/>
      <c r="C81" s="170"/>
      <c r="D81" s="170"/>
      <c r="E81" s="165"/>
      <c r="F81" s="210"/>
    </row>
    <row r="82" spans="2:6" ht="15.6" x14ac:dyDescent="0.3">
      <c r="B82" s="795"/>
      <c r="C82" s="665" t="s">
        <v>670</v>
      </c>
      <c r="D82" s="665"/>
      <c r="E82" s="665"/>
      <c r="F82" s="672">
        <f>SUM(F80:F81)</f>
        <v>14</v>
      </c>
    </row>
    <row r="83" spans="2:6" ht="16.2" thickBot="1" x14ac:dyDescent="0.35">
      <c r="B83" s="98">
        <v>45291</v>
      </c>
      <c r="C83" s="92" t="s">
        <v>2</v>
      </c>
      <c r="D83" s="92"/>
      <c r="E83" s="509"/>
      <c r="F83" s="99">
        <f>F74+F78+F82</f>
        <v>589.88000000000011</v>
      </c>
    </row>
    <row r="84" spans="2:6" ht="15.6" x14ac:dyDescent="0.3">
      <c r="B84" s="589"/>
      <c r="C84" s="590" t="s">
        <v>714</v>
      </c>
      <c r="D84" s="590"/>
      <c r="E84" s="591"/>
      <c r="F84" s="449"/>
    </row>
    <row r="85" spans="2:6" ht="15.6" x14ac:dyDescent="0.3">
      <c r="B85" s="387"/>
      <c r="C85" s="170"/>
      <c r="D85" s="170"/>
      <c r="E85" s="165"/>
      <c r="F85" s="210"/>
    </row>
    <row r="86" spans="2:6" ht="15.6" x14ac:dyDescent="0.3">
      <c r="B86" s="387"/>
      <c r="C86" s="170"/>
      <c r="D86" s="170"/>
      <c r="E86" s="165"/>
      <c r="F86" s="210"/>
    </row>
    <row r="87" spans="2:6" ht="15.6" x14ac:dyDescent="0.3">
      <c r="B87" s="671"/>
      <c r="C87" s="664" t="s">
        <v>715</v>
      </c>
      <c r="D87" s="664"/>
      <c r="E87" s="664"/>
      <c r="F87" s="672">
        <f>SUM(F84)</f>
        <v>0</v>
      </c>
    </row>
    <row r="88" spans="2:6" ht="15.6" x14ac:dyDescent="0.3">
      <c r="B88" s="387"/>
      <c r="C88" s="170" t="s">
        <v>716</v>
      </c>
      <c r="D88" s="170"/>
      <c r="E88" s="165"/>
      <c r="F88" s="210"/>
    </row>
    <row r="89" spans="2:6" ht="15.6" x14ac:dyDescent="0.3">
      <c r="B89" s="387"/>
      <c r="C89" s="170"/>
      <c r="D89" s="170"/>
      <c r="E89" s="165"/>
      <c r="F89" s="210"/>
    </row>
    <row r="90" spans="2:6" ht="15.6" x14ac:dyDescent="0.3">
      <c r="B90" s="387"/>
      <c r="C90" s="170"/>
      <c r="D90" s="170"/>
      <c r="E90" s="165"/>
      <c r="F90" s="210"/>
    </row>
    <row r="91" spans="2:6" ht="15.6" x14ac:dyDescent="0.3">
      <c r="B91" s="795"/>
      <c r="C91" s="665" t="s">
        <v>717</v>
      </c>
      <c r="D91" s="665"/>
      <c r="E91" s="665"/>
      <c r="F91" s="672">
        <f>SUM(F89:F90)</f>
        <v>0</v>
      </c>
    </row>
    <row r="92" spans="2:6" ht="16.2" thickBot="1" x14ac:dyDescent="0.35">
      <c r="B92" s="98">
        <f>B2</f>
        <v>45657</v>
      </c>
      <c r="C92" s="92" t="s">
        <v>2</v>
      </c>
      <c r="D92" s="92"/>
      <c r="E92" s="509"/>
      <c r="F92" s="99">
        <f>F83+F87++F91</f>
        <v>589.88000000000011</v>
      </c>
    </row>
    <row r="93" spans="2:6" ht="15.6" x14ac:dyDescent="0.3">
      <c r="B93" s="417"/>
      <c r="C93" s="8"/>
      <c r="D93" s="8"/>
      <c r="E93" s="12"/>
      <c r="F93" s="202"/>
    </row>
    <row r="94" spans="2:6" ht="13.8" thickBot="1" x14ac:dyDescent="0.3"/>
    <row r="95" spans="2:6" ht="15.6" x14ac:dyDescent="0.3">
      <c r="B95" s="223" t="s">
        <v>593</v>
      </c>
      <c r="C95" s="182"/>
      <c r="D95" s="182"/>
      <c r="E95" s="397" t="s">
        <v>520</v>
      </c>
      <c r="F95" s="394"/>
    </row>
    <row r="96" spans="2:6" ht="16.2" thickBot="1" x14ac:dyDescent="0.35">
      <c r="B96" s="98">
        <v>44704</v>
      </c>
      <c r="C96" s="92" t="s">
        <v>2</v>
      </c>
      <c r="D96" s="92"/>
      <c r="E96" s="509"/>
      <c r="F96" s="99">
        <v>0</v>
      </c>
    </row>
    <row r="97" spans="2:9" ht="15.6" x14ac:dyDescent="0.3">
      <c r="B97" s="796" t="s">
        <v>644</v>
      </c>
      <c r="C97" s="506"/>
      <c r="D97" s="506"/>
      <c r="E97" s="797"/>
      <c r="F97" s="539"/>
    </row>
    <row r="98" spans="2:9" ht="16.2" thickBot="1" x14ac:dyDescent="0.35">
      <c r="B98" s="796" t="s">
        <v>645</v>
      </c>
      <c r="C98" s="506"/>
      <c r="D98" s="506"/>
      <c r="E98" s="797"/>
      <c r="F98" s="539"/>
    </row>
    <row r="99" spans="2:9" ht="16.2" thickBot="1" x14ac:dyDescent="0.35">
      <c r="B99" s="702"/>
      <c r="C99" s="31"/>
      <c r="D99" s="31"/>
      <c r="E99" s="75"/>
      <c r="F99" s="703"/>
    </row>
    <row r="100" spans="2:9" ht="16.2" thickBot="1" x14ac:dyDescent="0.35">
      <c r="B100" s="660" t="s">
        <v>691</v>
      </c>
      <c r="C100" s="807"/>
      <c r="D100" s="807"/>
      <c r="E100" s="808" t="s">
        <v>692</v>
      </c>
      <c r="F100" s="809"/>
    </row>
    <row r="101" spans="2:9" ht="15.6" x14ac:dyDescent="0.3">
      <c r="B101" s="151">
        <v>44926</v>
      </c>
      <c r="C101" s="96" t="s">
        <v>2</v>
      </c>
      <c r="D101" s="96"/>
      <c r="E101" s="806"/>
      <c r="F101" s="152">
        <v>0</v>
      </c>
    </row>
    <row r="102" spans="2:9" ht="15.6" x14ac:dyDescent="0.3">
      <c r="B102" s="387"/>
      <c r="C102" s="170" t="s">
        <v>667</v>
      </c>
      <c r="D102" s="170"/>
      <c r="E102" s="763"/>
      <c r="F102" s="210"/>
    </row>
    <row r="103" spans="2:9" ht="15.6" x14ac:dyDescent="0.3">
      <c r="B103" s="387">
        <v>45120</v>
      </c>
      <c r="C103" s="170" t="s">
        <v>684</v>
      </c>
      <c r="D103" s="170"/>
      <c r="E103" s="165"/>
      <c r="F103" s="210">
        <v>-5000</v>
      </c>
      <c r="H103" s="7" t="s">
        <v>738</v>
      </c>
    </row>
    <row r="104" spans="2:9" ht="15.6" x14ac:dyDescent="0.3">
      <c r="B104" s="228">
        <v>45120</v>
      </c>
      <c r="C104" s="170" t="s">
        <v>697</v>
      </c>
      <c r="D104" s="170"/>
      <c r="E104" s="165"/>
      <c r="F104" s="217">
        <v>-140</v>
      </c>
      <c r="H104" t="s">
        <v>738</v>
      </c>
    </row>
    <row r="105" spans="2:9" ht="15.6" x14ac:dyDescent="0.3">
      <c r="B105" s="387"/>
      <c r="C105" s="170"/>
      <c r="D105" s="170"/>
      <c r="E105" s="763"/>
      <c r="F105" s="210"/>
    </row>
    <row r="106" spans="2:9" ht="15.6" x14ac:dyDescent="0.3">
      <c r="B106" s="387">
        <v>45255</v>
      </c>
      <c r="C106" s="170" t="s">
        <v>698</v>
      </c>
      <c r="D106" s="170"/>
      <c r="E106" s="165"/>
      <c r="F106" s="210">
        <v>-1630.46</v>
      </c>
      <c r="H106" t="s">
        <v>376</v>
      </c>
    </row>
    <row r="107" spans="2:9" x14ac:dyDescent="0.25">
      <c r="B107" s="167"/>
      <c r="C107" s="168"/>
      <c r="D107" s="168"/>
      <c r="E107" s="168"/>
      <c r="F107" s="810"/>
    </row>
    <row r="108" spans="2:9" ht="16.2" thickBot="1" x14ac:dyDescent="0.35">
      <c r="B108" s="592"/>
      <c r="C108" s="805" t="s">
        <v>668</v>
      </c>
      <c r="D108" s="805"/>
      <c r="E108" s="805"/>
      <c r="F108" s="595">
        <f>SUM(F103:F107)</f>
        <v>-6770.46</v>
      </c>
    </row>
    <row r="109" spans="2:9" ht="15.6" x14ac:dyDescent="0.3">
      <c r="B109" s="416"/>
      <c r="C109" s="8" t="s">
        <v>669</v>
      </c>
      <c r="D109" s="8"/>
      <c r="E109" s="4"/>
      <c r="F109" s="418"/>
    </row>
    <row r="110" spans="2:9" ht="15.6" x14ac:dyDescent="0.3">
      <c r="B110" s="387">
        <v>45108</v>
      </c>
      <c r="C110" s="228" t="s">
        <v>707</v>
      </c>
      <c r="D110" s="228"/>
      <c r="E110" s="228"/>
      <c r="F110" s="820">
        <f>-F76</f>
        <v>2274</v>
      </c>
      <c r="H110" s="7" t="s">
        <v>709</v>
      </c>
    </row>
    <row r="111" spans="2:9" ht="15.6" x14ac:dyDescent="0.3">
      <c r="B111" s="387">
        <v>45115</v>
      </c>
      <c r="C111" s="170" t="s">
        <v>679</v>
      </c>
      <c r="D111" s="170"/>
      <c r="E111" s="165"/>
      <c r="F111" s="210">
        <v>1433</v>
      </c>
      <c r="H111" s="800" t="s">
        <v>376</v>
      </c>
      <c r="I111" s="7" t="s">
        <v>727</v>
      </c>
    </row>
    <row r="112" spans="2:9" ht="15.6" x14ac:dyDescent="0.3">
      <c r="B112" s="387">
        <v>45117</v>
      </c>
      <c r="C112" s="170" t="s">
        <v>680</v>
      </c>
      <c r="D112" s="170"/>
      <c r="E112" s="165"/>
      <c r="F112" s="210">
        <v>1433</v>
      </c>
      <c r="H112" s="800" t="s">
        <v>376</v>
      </c>
      <c r="I112" s="7" t="s">
        <v>727</v>
      </c>
    </row>
    <row r="113" spans="2:9" ht="15.6" x14ac:dyDescent="0.3">
      <c r="B113" s="387">
        <v>45216</v>
      </c>
      <c r="C113" s="170" t="s">
        <v>688</v>
      </c>
      <c r="D113" s="170"/>
      <c r="E113" s="165"/>
      <c r="F113" s="210">
        <v>5000</v>
      </c>
      <c r="H113" s="7" t="s">
        <v>376</v>
      </c>
    </row>
    <row r="114" spans="2:9" ht="15.6" x14ac:dyDescent="0.3">
      <c r="B114" s="387">
        <v>45216</v>
      </c>
      <c r="C114" s="170" t="s">
        <v>688</v>
      </c>
      <c r="D114" s="170"/>
      <c r="E114" s="165"/>
      <c r="F114" s="210">
        <v>487.49</v>
      </c>
      <c r="H114" s="7" t="s">
        <v>376</v>
      </c>
    </row>
    <row r="115" spans="2:9" ht="15.6" x14ac:dyDescent="0.3">
      <c r="B115" s="387">
        <v>45262</v>
      </c>
      <c r="C115" s="170" t="s">
        <v>694</v>
      </c>
      <c r="D115" s="170"/>
      <c r="E115" s="165"/>
      <c r="F115" s="210">
        <v>250</v>
      </c>
      <c r="H115" s="7" t="s">
        <v>376</v>
      </c>
    </row>
    <row r="116" spans="2:9" ht="15.6" x14ac:dyDescent="0.3">
      <c r="B116" s="387">
        <v>45280</v>
      </c>
      <c r="C116" s="170" t="s">
        <v>695</v>
      </c>
      <c r="D116" s="170"/>
      <c r="E116" s="165"/>
      <c r="F116" s="210">
        <v>200</v>
      </c>
      <c r="H116" s="7" t="s">
        <v>376</v>
      </c>
    </row>
    <row r="117" spans="2:9" ht="15.6" x14ac:dyDescent="0.3">
      <c r="B117" s="387">
        <v>45287</v>
      </c>
      <c r="C117" s="170" t="s">
        <v>696</v>
      </c>
      <c r="D117" s="170"/>
      <c r="E117" s="165"/>
      <c r="F117" s="210">
        <v>2000</v>
      </c>
      <c r="H117" s="7" t="s">
        <v>376</v>
      </c>
    </row>
    <row r="118" spans="2:9" ht="15.6" x14ac:dyDescent="0.3">
      <c r="B118" s="387">
        <v>45291</v>
      </c>
      <c r="C118" s="170" t="s">
        <v>693</v>
      </c>
      <c r="D118" s="170"/>
      <c r="E118" s="165"/>
      <c r="F118" s="210">
        <v>2000</v>
      </c>
      <c r="H118" s="7" t="s">
        <v>376</v>
      </c>
    </row>
    <row r="119" spans="2:9" ht="15.6" x14ac:dyDescent="0.3">
      <c r="B119" s="795"/>
      <c r="C119" s="665" t="s">
        <v>670</v>
      </c>
      <c r="D119" s="665"/>
      <c r="E119" s="665"/>
      <c r="F119" s="762">
        <f>SUM(F110:F118)</f>
        <v>15077.49</v>
      </c>
    </row>
    <row r="120" spans="2:9" ht="16.2" thickBot="1" x14ac:dyDescent="0.35">
      <c r="B120" s="98">
        <v>45291</v>
      </c>
      <c r="C120" s="92" t="s">
        <v>2</v>
      </c>
      <c r="D120" s="92"/>
      <c r="E120" s="509"/>
      <c r="F120" s="99">
        <f>F101+F108+F119</f>
        <v>8307.0299999999988</v>
      </c>
    </row>
    <row r="121" spans="2:9" ht="15.6" x14ac:dyDescent="0.3">
      <c r="B121" s="589"/>
      <c r="C121" s="590" t="s">
        <v>714</v>
      </c>
      <c r="D121" s="590"/>
      <c r="E121" s="591"/>
      <c r="F121" s="449"/>
    </row>
    <row r="122" spans="2:9" ht="15.6" x14ac:dyDescent="0.3">
      <c r="B122" s="387">
        <v>45328</v>
      </c>
      <c r="C122" s="170" t="s">
        <v>725</v>
      </c>
      <c r="D122" s="170"/>
      <c r="E122" s="165"/>
      <c r="F122" s="210">
        <v>-1433</v>
      </c>
      <c r="H122" s="7" t="s">
        <v>724</v>
      </c>
      <c r="I122" s="425"/>
    </row>
    <row r="123" spans="2:9" ht="15.6" x14ac:dyDescent="0.3">
      <c r="B123" s="387">
        <v>45328</v>
      </c>
      <c r="C123" s="170" t="s">
        <v>726</v>
      </c>
      <c r="D123" s="170"/>
      <c r="E123" s="165"/>
      <c r="F123" s="210">
        <v>-1433</v>
      </c>
      <c r="H123" s="7" t="s">
        <v>724</v>
      </c>
      <c r="I123" s="425"/>
    </row>
    <row r="124" spans="2:9" ht="15.6" x14ac:dyDescent="0.3">
      <c r="B124" s="387">
        <v>45534</v>
      </c>
      <c r="C124" s="170" t="s">
        <v>733</v>
      </c>
      <c r="D124" s="170"/>
      <c r="E124" s="763" t="s">
        <v>730</v>
      </c>
      <c r="F124" s="210">
        <v>-5000</v>
      </c>
      <c r="H124" s="7" t="s">
        <v>732</v>
      </c>
      <c r="I124" s="425"/>
    </row>
    <row r="125" spans="2:9" ht="15.6" x14ac:dyDescent="0.3">
      <c r="B125" s="387">
        <v>45535</v>
      </c>
      <c r="C125" s="170" t="s">
        <v>734</v>
      </c>
      <c r="D125" s="170"/>
      <c r="E125" s="763" t="s">
        <v>731</v>
      </c>
      <c r="F125" s="210">
        <v>-785.74</v>
      </c>
      <c r="H125" s="7" t="s">
        <v>732</v>
      </c>
      <c r="I125" s="425"/>
    </row>
    <row r="126" spans="2:9" ht="15.6" x14ac:dyDescent="0.3">
      <c r="B126" s="387">
        <v>45634</v>
      </c>
      <c r="C126" s="170" t="s">
        <v>736</v>
      </c>
      <c r="D126" s="170"/>
      <c r="E126" s="165"/>
      <c r="F126" s="210">
        <v>-273</v>
      </c>
      <c r="H126" s="7" t="s">
        <v>737</v>
      </c>
      <c r="I126" s="425"/>
    </row>
    <row r="127" spans="2:9" ht="15.6" x14ac:dyDescent="0.3">
      <c r="B127" s="387">
        <v>45637</v>
      </c>
      <c r="C127" s="170" t="s">
        <v>739</v>
      </c>
      <c r="D127" s="170"/>
      <c r="E127" s="165"/>
      <c r="F127" s="210">
        <v>-5000</v>
      </c>
      <c r="H127" s="7" t="s">
        <v>741</v>
      </c>
      <c r="I127" s="425"/>
    </row>
    <row r="128" spans="2:9" ht="15.6" x14ac:dyDescent="0.3">
      <c r="B128" s="387"/>
      <c r="C128" s="170"/>
      <c r="D128" s="170"/>
      <c r="E128" s="165"/>
      <c r="F128" s="210"/>
      <c r="H128" s="7"/>
    </row>
    <row r="129" spans="1:8" ht="15.6" x14ac:dyDescent="0.3">
      <c r="B129" s="671"/>
      <c r="C129" s="664" t="s">
        <v>715</v>
      </c>
      <c r="D129" s="664"/>
      <c r="E129" s="664"/>
      <c r="F129" s="672">
        <f>SUM(F122:F128)</f>
        <v>-13924.74</v>
      </c>
    </row>
    <row r="130" spans="1:8" ht="15.6" x14ac:dyDescent="0.3">
      <c r="B130" s="387"/>
      <c r="C130" s="170" t="s">
        <v>716</v>
      </c>
      <c r="D130" s="170"/>
      <c r="E130" s="165"/>
      <c r="F130" s="210"/>
    </row>
    <row r="131" spans="1:8" ht="15.6" x14ac:dyDescent="0.3">
      <c r="B131" s="387">
        <v>45386</v>
      </c>
      <c r="C131" s="170" t="s">
        <v>729</v>
      </c>
      <c r="D131" s="170"/>
      <c r="E131" s="165"/>
      <c r="F131" s="210">
        <v>6143</v>
      </c>
      <c r="H131" s="837" t="s">
        <v>376</v>
      </c>
    </row>
    <row r="132" spans="1:8" ht="15.6" x14ac:dyDescent="0.3">
      <c r="B132" s="387">
        <v>45616</v>
      </c>
      <c r="C132" s="170" t="s">
        <v>729</v>
      </c>
      <c r="D132" s="170"/>
      <c r="E132" s="165"/>
      <c r="F132" s="210">
        <v>6143</v>
      </c>
      <c r="H132" s="837" t="s">
        <v>376</v>
      </c>
    </row>
    <row r="133" spans="1:8" ht="16.2" thickBot="1" x14ac:dyDescent="0.35">
      <c r="B133" s="795"/>
      <c r="C133" s="665" t="s">
        <v>717</v>
      </c>
      <c r="D133" s="665"/>
      <c r="E133" s="665"/>
      <c r="F133" s="672">
        <f>SUM(F131:F132)</f>
        <v>12286</v>
      </c>
    </row>
    <row r="134" spans="1:8" ht="16.2" thickBot="1" x14ac:dyDescent="0.35">
      <c r="B134" s="667">
        <f>B2</f>
        <v>45657</v>
      </c>
      <c r="C134" s="668" t="s">
        <v>2</v>
      </c>
      <c r="D134" s="668"/>
      <c r="E134" s="669"/>
      <c r="F134" s="670">
        <f>F120+F129++F133</f>
        <v>6668.2899999999991</v>
      </c>
    </row>
    <row r="135" spans="1:8" ht="15.6" x14ac:dyDescent="0.3">
      <c r="B135" s="417"/>
      <c r="C135" s="8"/>
      <c r="D135" s="8"/>
      <c r="E135" s="12"/>
      <c r="F135" s="202"/>
    </row>
    <row r="136" spans="1:8" ht="16.2" thickBot="1" x14ac:dyDescent="0.35">
      <c r="B136" s="417"/>
      <c r="C136" s="8"/>
      <c r="D136" s="8"/>
      <c r="E136" s="12"/>
      <c r="F136" s="202"/>
    </row>
    <row r="137" spans="1:8" ht="16.2" thickBot="1" x14ac:dyDescent="0.35">
      <c r="A137" s="168"/>
      <c r="B137" s="660" t="s">
        <v>631</v>
      </c>
      <c r="C137" s="807"/>
      <c r="D137" s="807"/>
      <c r="E137" s="808"/>
      <c r="F137" s="809"/>
    </row>
    <row r="138" spans="1:8" ht="15.6" x14ac:dyDescent="0.3">
      <c r="B138" s="105">
        <v>44196</v>
      </c>
      <c r="C138" s="227" t="s">
        <v>631</v>
      </c>
      <c r="D138" s="114"/>
      <c r="E138" s="227"/>
      <c r="F138" s="152">
        <f>'proj 2021'!F189</f>
        <v>1020.460000000009</v>
      </c>
    </row>
    <row r="139" spans="1:8" ht="15.6" x14ac:dyDescent="0.3">
      <c r="B139" s="729"/>
      <c r="C139" s="730" t="s">
        <v>595</v>
      </c>
      <c r="D139" s="664"/>
      <c r="E139" s="731"/>
      <c r="F139" s="672"/>
    </row>
    <row r="140" spans="1:8" ht="15.6" x14ac:dyDescent="0.3">
      <c r="B140" s="359"/>
      <c r="C140" s="211"/>
      <c r="D140" s="228"/>
      <c r="E140" s="217"/>
      <c r="F140" s="210"/>
    </row>
    <row r="141" spans="1:8" ht="15.6" x14ac:dyDescent="0.3">
      <c r="B141" s="754"/>
      <c r="C141" s="755" t="s">
        <v>596</v>
      </c>
      <c r="D141" s="756"/>
      <c r="E141" s="757"/>
      <c r="F141" s="758"/>
    </row>
    <row r="142" spans="1:8" ht="15.6" x14ac:dyDescent="0.3">
      <c r="B142" s="359">
        <v>44280</v>
      </c>
      <c r="C142" s="211" t="s">
        <v>599</v>
      </c>
      <c r="D142" s="228"/>
      <c r="E142" s="217"/>
      <c r="F142" s="210">
        <v>-200</v>
      </c>
    </row>
    <row r="143" spans="1:8" ht="15.6" x14ac:dyDescent="0.3">
      <c r="B143" s="754"/>
      <c r="C143" s="755"/>
      <c r="D143" s="756"/>
      <c r="E143" s="757"/>
      <c r="F143" s="758"/>
    </row>
    <row r="144" spans="1:8" ht="16.2" thickBot="1" x14ac:dyDescent="0.35">
      <c r="B144" s="732">
        <v>44926</v>
      </c>
      <c r="C144" s="733" t="s">
        <v>631</v>
      </c>
      <c r="D144" s="618"/>
      <c r="E144" s="734"/>
      <c r="F144" s="99">
        <v>820.46</v>
      </c>
      <c r="H144">
        <v>820.46</v>
      </c>
    </row>
    <row r="145" spans="2:8" ht="15.6" x14ac:dyDescent="0.3">
      <c r="B145" s="729"/>
      <c r="C145" s="730" t="s">
        <v>671</v>
      </c>
      <c r="D145" s="664"/>
      <c r="E145" s="731"/>
      <c r="F145" s="672"/>
    </row>
    <row r="146" spans="2:8" ht="15.6" x14ac:dyDescent="0.3">
      <c r="B146" s="359"/>
      <c r="C146" s="211"/>
      <c r="D146" s="228"/>
      <c r="E146" s="217"/>
      <c r="F146" s="210"/>
    </row>
    <row r="147" spans="2:8" ht="15.6" x14ac:dyDescent="0.3">
      <c r="B147" s="754"/>
      <c r="C147" s="755" t="s">
        <v>672</v>
      </c>
      <c r="D147" s="756"/>
      <c r="E147" s="757"/>
      <c r="F147" s="758"/>
    </row>
    <row r="148" spans="2:8" ht="15.6" x14ac:dyDescent="0.3">
      <c r="B148" s="359"/>
      <c r="C148" s="211">
        <v>45005</v>
      </c>
      <c r="D148" s="228"/>
      <c r="E148" s="217"/>
      <c r="F148" s="210">
        <v>-100</v>
      </c>
      <c r="H148" s="7" t="s">
        <v>683</v>
      </c>
    </row>
    <row r="149" spans="2:8" ht="15.6" x14ac:dyDescent="0.3">
      <c r="B149" s="359"/>
      <c r="C149" s="211">
        <v>45102</v>
      </c>
      <c r="D149" s="228"/>
      <c r="E149" s="217"/>
      <c r="F149" s="210">
        <v>-50</v>
      </c>
      <c r="H149" s="7" t="s">
        <v>683</v>
      </c>
    </row>
    <row r="150" spans="2:8" ht="15.6" x14ac:dyDescent="0.3">
      <c r="B150" s="359"/>
      <c r="C150" s="211">
        <v>45290</v>
      </c>
      <c r="D150" s="228"/>
      <c r="E150" s="217"/>
      <c r="F150" s="210">
        <v>-62.73</v>
      </c>
      <c r="H150" s="7" t="s">
        <v>683</v>
      </c>
    </row>
    <row r="151" spans="2:8" ht="15.6" x14ac:dyDescent="0.3">
      <c r="B151" s="359"/>
      <c r="C151" s="211"/>
      <c r="D151" s="228"/>
      <c r="E151" s="217"/>
      <c r="F151" s="210"/>
    </row>
    <row r="152" spans="2:8" ht="15.6" x14ac:dyDescent="0.3">
      <c r="B152" s="754"/>
      <c r="C152" s="755" t="s">
        <v>713</v>
      </c>
      <c r="D152" s="756"/>
      <c r="E152" s="757"/>
      <c r="F152" s="758">
        <f>SUM(F148:F150)</f>
        <v>-212.73</v>
      </c>
    </row>
    <row r="153" spans="2:8" ht="16.2" thickBot="1" x14ac:dyDescent="0.35">
      <c r="B153" s="732">
        <v>45291</v>
      </c>
      <c r="C153" s="733" t="s">
        <v>631</v>
      </c>
      <c r="D153" s="618"/>
      <c r="E153" s="734"/>
      <c r="F153" s="99">
        <f>F144+F152</f>
        <v>607.73</v>
      </c>
      <c r="H153" s="116"/>
    </row>
    <row r="154" spans="2:8" ht="15.6" x14ac:dyDescent="0.3">
      <c r="B154" s="589"/>
      <c r="C154" s="590" t="s">
        <v>719</v>
      </c>
      <c r="D154" s="590"/>
      <c r="E154" s="591"/>
      <c r="F154" s="449"/>
    </row>
    <row r="155" spans="2:8" ht="15.6" x14ac:dyDescent="0.3">
      <c r="B155" s="387">
        <v>45294</v>
      </c>
      <c r="C155" s="170" t="s">
        <v>722</v>
      </c>
      <c r="D155" s="170"/>
      <c r="E155" s="165"/>
      <c r="F155" s="210">
        <v>-14.39</v>
      </c>
      <c r="H155" s="837" t="s">
        <v>376</v>
      </c>
    </row>
    <row r="156" spans="2:8" ht="15.6" x14ac:dyDescent="0.3">
      <c r="B156" s="387">
        <v>45324</v>
      </c>
      <c r="C156" s="170" t="s">
        <v>722</v>
      </c>
      <c r="D156" s="170"/>
      <c r="E156" s="165"/>
      <c r="F156" s="210">
        <v>-13.67</v>
      </c>
      <c r="H156" s="837" t="s">
        <v>376</v>
      </c>
    </row>
    <row r="157" spans="2:8" ht="15.6" x14ac:dyDescent="0.3">
      <c r="B157" s="387">
        <v>45353</v>
      </c>
      <c r="C157" s="170" t="s">
        <v>722</v>
      </c>
      <c r="D157" s="170"/>
      <c r="E157" s="165"/>
      <c r="F157" s="210">
        <v>-14.09</v>
      </c>
      <c r="H157" s="837" t="s">
        <v>376</v>
      </c>
    </row>
    <row r="158" spans="2:8" ht="15.6" x14ac:dyDescent="0.3">
      <c r="B158" s="387">
        <v>45386</v>
      </c>
      <c r="C158" s="170" t="s">
        <v>722</v>
      </c>
      <c r="D158" s="170"/>
      <c r="E158" s="165"/>
      <c r="F158" s="210">
        <v>-13.91</v>
      </c>
      <c r="H158" s="837" t="s">
        <v>376</v>
      </c>
    </row>
    <row r="159" spans="2:8" ht="15.6" x14ac:dyDescent="0.3">
      <c r="B159" s="387">
        <v>45415</v>
      </c>
      <c r="C159" s="170" t="s">
        <v>722</v>
      </c>
      <c r="D159" s="170"/>
      <c r="E159" s="165"/>
      <c r="F159" s="210">
        <v>-13.91</v>
      </c>
      <c r="H159" s="837" t="s">
        <v>376</v>
      </c>
    </row>
    <row r="160" spans="2:8" ht="15.6" x14ac:dyDescent="0.3">
      <c r="B160" s="387">
        <v>45447</v>
      </c>
      <c r="C160" s="170" t="s">
        <v>722</v>
      </c>
      <c r="D160" s="170"/>
      <c r="E160" s="165"/>
      <c r="F160" s="210">
        <v>-13.67</v>
      </c>
      <c r="H160" s="837" t="s">
        <v>376</v>
      </c>
    </row>
    <row r="161" spans="1:8" ht="15.6" x14ac:dyDescent="0.3">
      <c r="B161" s="387">
        <v>45475</v>
      </c>
      <c r="C161" s="170" t="s">
        <v>722</v>
      </c>
      <c r="D161" s="170"/>
      <c r="E161" s="165"/>
      <c r="F161" s="210">
        <v>-13.67</v>
      </c>
      <c r="H161" s="837" t="s">
        <v>376</v>
      </c>
    </row>
    <row r="162" spans="1:8" ht="15.6" x14ac:dyDescent="0.3">
      <c r="B162" s="387">
        <v>45506</v>
      </c>
      <c r="C162" s="170" t="s">
        <v>722</v>
      </c>
      <c r="D162" s="170"/>
      <c r="E162" s="165"/>
      <c r="F162" s="210">
        <v>-13.67</v>
      </c>
      <c r="H162" s="837" t="s">
        <v>376</v>
      </c>
    </row>
    <row r="163" spans="1:8" ht="15.6" x14ac:dyDescent="0.3">
      <c r="B163" s="387">
        <v>45538</v>
      </c>
      <c r="C163" s="170" t="s">
        <v>722</v>
      </c>
      <c r="D163" s="170"/>
      <c r="E163" s="165"/>
      <c r="F163" s="210">
        <v>-14.09</v>
      </c>
      <c r="H163" s="837" t="s">
        <v>376</v>
      </c>
    </row>
    <row r="164" spans="1:8" ht="15.6" x14ac:dyDescent="0.3">
      <c r="B164" s="387">
        <v>45567</v>
      </c>
      <c r="C164" s="170" t="s">
        <v>722</v>
      </c>
      <c r="D164" s="170"/>
      <c r="E164" s="165"/>
      <c r="F164" s="210">
        <v>-13.67</v>
      </c>
      <c r="H164" s="837" t="s">
        <v>376</v>
      </c>
    </row>
    <row r="165" spans="1:8" ht="15.6" x14ac:dyDescent="0.3">
      <c r="B165" s="387">
        <v>45598</v>
      </c>
      <c r="C165" s="170" t="s">
        <v>722</v>
      </c>
      <c r="D165" s="170"/>
      <c r="E165" s="165"/>
      <c r="F165" s="210">
        <v>-13.67</v>
      </c>
      <c r="H165" s="837" t="s">
        <v>376</v>
      </c>
    </row>
    <row r="166" spans="1:8" ht="15.6" x14ac:dyDescent="0.3">
      <c r="B166" s="387">
        <v>45629</v>
      </c>
      <c r="C166" s="170" t="s">
        <v>722</v>
      </c>
      <c r="D166" s="170"/>
      <c r="E166" s="165"/>
      <c r="F166" s="210">
        <v>-13.91</v>
      </c>
      <c r="H166" s="837" t="s">
        <v>376</v>
      </c>
    </row>
    <row r="167" spans="1:8" ht="15.6" x14ac:dyDescent="0.3">
      <c r="B167" s="387"/>
      <c r="C167" s="170"/>
      <c r="D167" s="170"/>
      <c r="E167" s="165"/>
      <c r="F167" s="210"/>
    </row>
    <row r="168" spans="1:8" ht="15.6" x14ac:dyDescent="0.3">
      <c r="B168" s="671"/>
      <c r="C168" s="664" t="s">
        <v>746</v>
      </c>
      <c r="D168" s="664"/>
      <c r="E168" s="664"/>
      <c r="F168" s="672">
        <f>SUM(F155:F167)</f>
        <v>-166.32</v>
      </c>
    </row>
    <row r="169" spans="1:8" ht="15.6" x14ac:dyDescent="0.3">
      <c r="B169" s="387"/>
      <c r="C169" s="170" t="s">
        <v>720</v>
      </c>
      <c r="D169" s="170"/>
      <c r="E169" s="165"/>
      <c r="F169" s="210"/>
    </row>
    <row r="170" spans="1:8" ht="15.6" x14ac:dyDescent="0.3">
      <c r="B170" s="387"/>
      <c r="C170" s="170"/>
      <c r="D170" s="170"/>
      <c r="E170" s="165"/>
      <c r="F170" s="210"/>
    </row>
    <row r="171" spans="1:8" ht="15.6" x14ac:dyDescent="0.3">
      <c r="B171" s="387"/>
      <c r="C171" s="170"/>
      <c r="D171" s="170"/>
      <c r="E171" s="165"/>
      <c r="F171" s="210"/>
    </row>
    <row r="172" spans="1:8" ht="16.2" thickBot="1" x14ac:dyDescent="0.35">
      <c r="B172" s="795"/>
      <c r="C172" s="665" t="s">
        <v>747</v>
      </c>
      <c r="D172" s="665"/>
      <c r="E172" s="665"/>
      <c r="F172" s="672">
        <f>SUM(F170:F171)</f>
        <v>0</v>
      </c>
    </row>
    <row r="173" spans="1:8" ht="16.2" thickBot="1" x14ac:dyDescent="0.35">
      <c r="A173" s="168"/>
      <c r="B173" s="667">
        <f>B2</f>
        <v>45657</v>
      </c>
      <c r="C173" s="668" t="s">
        <v>2</v>
      </c>
      <c r="D173" s="668"/>
      <c r="E173" s="669"/>
      <c r="F173" s="670">
        <f>F153+F168++F172</f>
        <v>441.41</v>
      </c>
    </row>
  </sheetData>
  <pageMargins left="0.7" right="0.7" top="0.75" bottom="0.75" header="0.3" footer="0.3"/>
  <pageSetup paperSize="9" scale="55" fitToHeight="2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70D88-9D01-42B4-8C3E-4C820BA98536}">
  <dimension ref="B1:J196"/>
  <sheetViews>
    <sheetView workbookViewId="0">
      <selection sqref="A1:K200"/>
    </sheetView>
  </sheetViews>
  <sheetFormatPr defaultRowHeight="13.2" x14ac:dyDescent="0.25"/>
  <cols>
    <col min="2" max="2" width="14.88671875" customWidth="1"/>
    <col min="3" max="3" width="13.77734375" customWidth="1"/>
    <col min="4" max="4" width="13.44140625" customWidth="1"/>
    <col min="5" max="6" width="17.6640625" customWidth="1"/>
    <col min="7" max="7" width="3.88671875" customWidth="1"/>
    <col min="8" max="8" width="17.109375" customWidth="1"/>
    <col min="9" max="9" width="18.5546875" customWidth="1"/>
  </cols>
  <sheetData>
    <row r="1" spans="2:10" ht="21" x14ac:dyDescent="0.4">
      <c r="B1" s="150" t="s">
        <v>704</v>
      </c>
    </row>
    <row r="2" spans="2:10" ht="17.399999999999999" x14ac:dyDescent="0.3">
      <c r="B2" s="250">
        <f>'31 dec 2024'!C4</f>
        <v>45657</v>
      </c>
    </row>
    <row r="4" spans="2:10" ht="13.8" thickBot="1" x14ac:dyDescent="0.3"/>
    <row r="5" spans="2:10" ht="15.6" x14ac:dyDescent="0.3">
      <c r="B5" s="382" t="s">
        <v>600</v>
      </c>
      <c r="C5" s="156"/>
      <c r="D5" s="156"/>
      <c r="E5" s="199" t="s">
        <v>112</v>
      </c>
      <c r="F5" s="383"/>
    </row>
    <row r="6" spans="2:10" ht="16.2" thickBot="1" x14ac:dyDescent="0.35">
      <c r="B6" s="98">
        <v>44926</v>
      </c>
      <c r="C6" s="92" t="s">
        <v>2</v>
      </c>
      <c r="D6" s="92"/>
      <c r="E6" s="509"/>
      <c r="F6" s="99">
        <v>-38.71</v>
      </c>
      <c r="H6">
        <v>-38.71</v>
      </c>
      <c r="I6" s="193"/>
      <c r="J6" s="193"/>
    </row>
    <row r="7" spans="2:10" ht="15.6" x14ac:dyDescent="0.3">
      <c r="B7" s="589"/>
      <c r="C7" s="590" t="s">
        <v>667</v>
      </c>
      <c r="D7" s="590"/>
      <c r="E7" s="591"/>
      <c r="F7" s="449"/>
      <c r="I7" s="193"/>
      <c r="J7" s="95"/>
    </row>
    <row r="8" spans="2:10" ht="15.6" x14ac:dyDescent="0.3">
      <c r="B8" s="387">
        <v>44929</v>
      </c>
      <c r="C8" s="170" t="s">
        <v>67</v>
      </c>
      <c r="D8" s="170"/>
      <c r="E8" s="165"/>
      <c r="F8" s="210">
        <v>-9.9499999999999993</v>
      </c>
      <c r="H8" s="123" t="s">
        <v>376</v>
      </c>
      <c r="I8" s="193"/>
      <c r="J8" s="95"/>
    </row>
    <row r="9" spans="2:10" ht="15.6" x14ac:dyDescent="0.3">
      <c r="B9" s="387">
        <v>44959</v>
      </c>
      <c r="C9" s="170" t="s">
        <v>67</v>
      </c>
      <c r="D9" s="170"/>
      <c r="E9" s="165"/>
      <c r="F9" s="210">
        <v>-14.33</v>
      </c>
      <c r="H9" s="123" t="s">
        <v>376</v>
      </c>
      <c r="I9" s="193"/>
      <c r="J9" s="95"/>
    </row>
    <row r="10" spans="2:10" ht="15.6" x14ac:dyDescent="0.3">
      <c r="B10" s="387">
        <v>44987</v>
      </c>
      <c r="C10" s="170" t="s">
        <v>67</v>
      </c>
      <c r="D10" s="170"/>
      <c r="E10" s="165"/>
      <c r="F10" s="210">
        <v>-13.67</v>
      </c>
      <c r="H10" s="123" t="s">
        <v>376</v>
      </c>
      <c r="I10" s="193"/>
      <c r="J10" s="95"/>
    </row>
    <row r="11" spans="2:10" ht="15.6" x14ac:dyDescent="0.3">
      <c r="B11" s="387">
        <v>45020</v>
      </c>
      <c r="C11" s="170" t="s">
        <v>67</v>
      </c>
      <c r="D11" s="170"/>
      <c r="E11" s="165"/>
      <c r="F11" s="210">
        <v>-14.12</v>
      </c>
      <c r="H11" s="123" t="s">
        <v>376</v>
      </c>
      <c r="I11" s="193"/>
      <c r="J11" s="95"/>
    </row>
    <row r="12" spans="2:10" ht="15.6" x14ac:dyDescent="0.3">
      <c r="B12" s="228">
        <v>45048</v>
      </c>
      <c r="C12" s="170" t="s">
        <v>67</v>
      </c>
      <c r="D12" s="170"/>
      <c r="E12" s="165"/>
      <c r="F12" s="217">
        <v>-13.67</v>
      </c>
      <c r="H12" s="123" t="s">
        <v>376</v>
      </c>
      <c r="I12" s="193"/>
      <c r="J12" s="95"/>
    </row>
    <row r="13" spans="2:10" ht="15.6" x14ac:dyDescent="0.3">
      <c r="B13" s="228">
        <v>45079</v>
      </c>
      <c r="C13" s="170" t="s">
        <v>67</v>
      </c>
      <c r="D13" s="170"/>
      <c r="E13" s="165"/>
      <c r="F13" s="217">
        <v>-13.67</v>
      </c>
      <c r="H13" s="123" t="s">
        <v>376</v>
      </c>
      <c r="I13" s="193"/>
      <c r="J13" s="95"/>
    </row>
    <row r="14" spans="2:10" ht="15.6" x14ac:dyDescent="0.3">
      <c r="B14" s="228">
        <v>45104</v>
      </c>
      <c r="C14" s="170" t="s">
        <v>681</v>
      </c>
      <c r="D14" s="170"/>
      <c r="E14" s="165"/>
      <c r="F14" s="217">
        <v>-8.4499999999999993</v>
      </c>
      <c r="H14" s="123" t="s">
        <v>376</v>
      </c>
      <c r="I14" s="193"/>
      <c r="J14" s="95"/>
    </row>
    <row r="15" spans="2:10" ht="15.6" x14ac:dyDescent="0.3">
      <c r="B15" s="228">
        <v>45111</v>
      </c>
      <c r="C15" s="170" t="s">
        <v>67</v>
      </c>
      <c r="D15" s="170"/>
      <c r="E15" s="165"/>
      <c r="F15" s="217">
        <v>-14.54</v>
      </c>
      <c r="H15" s="123" t="s">
        <v>376</v>
      </c>
      <c r="I15" s="193"/>
      <c r="J15" s="95"/>
    </row>
    <row r="16" spans="2:10" ht="15.6" x14ac:dyDescent="0.3">
      <c r="B16" s="228">
        <v>45140</v>
      </c>
      <c r="C16" s="170" t="s">
        <v>67</v>
      </c>
      <c r="D16" s="170"/>
      <c r="E16" s="165"/>
      <c r="F16" s="217">
        <v>-14.57</v>
      </c>
      <c r="H16" s="123" t="s">
        <v>376</v>
      </c>
      <c r="I16" s="193"/>
      <c r="J16" s="95"/>
    </row>
    <row r="17" spans="2:10" ht="15.6" x14ac:dyDescent="0.3">
      <c r="B17" s="228">
        <v>45171</v>
      </c>
      <c r="C17" s="170" t="s">
        <v>67</v>
      </c>
      <c r="D17" s="170"/>
      <c r="E17" s="165"/>
      <c r="F17" s="217">
        <v>-10.039999999999999</v>
      </c>
      <c r="H17" s="123" t="s">
        <v>376</v>
      </c>
      <c r="I17" s="193"/>
      <c r="J17" s="95"/>
    </row>
    <row r="18" spans="2:10" ht="15.6" x14ac:dyDescent="0.3">
      <c r="B18" s="228">
        <v>45202</v>
      </c>
      <c r="C18" s="170" t="s">
        <v>67</v>
      </c>
      <c r="D18" s="170"/>
      <c r="E18" s="165"/>
      <c r="F18" s="217">
        <v>-17.600000000000001</v>
      </c>
      <c r="H18" s="123" t="s">
        <v>376</v>
      </c>
      <c r="I18" s="193"/>
      <c r="J18" s="95"/>
    </row>
    <row r="19" spans="2:10" ht="15.6" x14ac:dyDescent="0.3">
      <c r="B19" s="228">
        <v>45232</v>
      </c>
      <c r="C19" s="170" t="s">
        <v>67</v>
      </c>
      <c r="D19" s="170"/>
      <c r="E19" s="165"/>
      <c r="F19" s="217">
        <v>-14.99</v>
      </c>
      <c r="H19" s="123" t="s">
        <v>376</v>
      </c>
      <c r="I19" s="193"/>
      <c r="J19" s="95"/>
    </row>
    <row r="20" spans="2:10" ht="15.6" x14ac:dyDescent="0.3">
      <c r="B20" s="228">
        <v>45262</v>
      </c>
      <c r="C20" s="170" t="s">
        <v>67</v>
      </c>
      <c r="D20" s="170"/>
      <c r="E20" s="165"/>
      <c r="F20" s="217">
        <v>-14.42</v>
      </c>
      <c r="H20" s="123" t="s">
        <v>376</v>
      </c>
      <c r="I20" s="193"/>
      <c r="J20" s="95"/>
    </row>
    <row r="21" spans="2:10" ht="15.6" x14ac:dyDescent="0.3">
      <c r="B21" s="671"/>
      <c r="C21" s="664" t="s">
        <v>668</v>
      </c>
      <c r="D21" s="664"/>
      <c r="E21" s="664"/>
      <c r="F21" s="672">
        <f>SUM(F8:F20)</f>
        <v>-174.01999999999998</v>
      </c>
      <c r="I21" s="193"/>
      <c r="J21" s="95"/>
    </row>
    <row r="22" spans="2:10" ht="15.6" x14ac:dyDescent="0.3">
      <c r="B22" s="387"/>
      <c r="C22" s="170" t="s">
        <v>669</v>
      </c>
      <c r="D22" s="170"/>
      <c r="E22" s="165"/>
      <c r="F22" s="210"/>
      <c r="I22" s="193"/>
      <c r="J22" s="95"/>
    </row>
    <row r="23" spans="2:10" ht="15.6" x14ac:dyDescent="0.3">
      <c r="B23" s="387">
        <v>45005</v>
      </c>
      <c r="C23" s="170" t="s">
        <v>711</v>
      </c>
      <c r="D23" s="170"/>
      <c r="E23" s="165"/>
      <c r="F23" s="210">
        <v>100</v>
      </c>
      <c r="H23" s="7" t="s">
        <v>705</v>
      </c>
      <c r="I23" s="193"/>
      <c r="J23" s="95"/>
    </row>
    <row r="24" spans="2:10" ht="15.6" x14ac:dyDescent="0.3">
      <c r="B24" s="387">
        <v>45103</v>
      </c>
      <c r="C24" s="170" t="s">
        <v>711</v>
      </c>
      <c r="D24" s="170"/>
      <c r="E24" s="165"/>
      <c r="F24" s="210">
        <v>50</v>
      </c>
      <c r="H24" s="7" t="s">
        <v>705</v>
      </c>
      <c r="I24" s="193"/>
      <c r="J24" s="95"/>
    </row>
    <row r="25" spans="2:10" ht="15.6" x14ac:dyDescent="0.3">
      <c r="B25" s="387">
        <v>45290</v>
      </c>
      <c r="C25" s="170" t="s">
        <v>711</v>
      </c>
      <c r="D25" s="170"/>
      <c r="E25" s="165"/>
      <c r="F25" s="210">
        <f>62.73</f>
        <v>62.73</v>
      </c>
      <c r="H25" s="7" t="s">
        <v>705</v>
      </c>
      <c r="I25" s="193"/>
      <c r="J25" s="95"/>
    </row>
    <row r="26" spans="2:10" ht="15.6" x14ac:dyDescent="0.3">
      <c r="B26" s="795"/>
      <c r="C26" s="665" t="s">
        <v>670</v>
      </c>
      <c r="D26" s="665"/>
      <c r="E26" s="665"/>
      <c r="F26" s="672">
        <f>SUM(F23:F25)</f>
        <v>212.73</v>
      </c>
      <c r="I26" s="193"/>
      <c r="J26" s="95"/>
    </row>
    <row r="27" spans="2:10" ht="16.2" thickBot="1" x14ac:dyDescent="0.35">
      <c r="B27" s="98">
        <v>45291</v>
      </c>
      <c r="C27" s="92" t="s">
        <v>2</v>
      </c>
      <c r="D27" s="92"/>
      <c r="E27" s="509"/>
      <c r="F27" s="99">
        <f>F6+F21+F26</f>
        <v>0</v>
      </c>
      <c r="I27" s="193"/>
      <c r="J27" s="95"/>
    </row>
    <row r="28" spans="2:10" ht="16.2" thickBot="1" x14ac:dyDescent="0.35">
      <c r="B28" s="826" t="s">
        <v>712</v>
      </c>
      <c r="C28" s="827"/>
      <c r="D28" s="827"/>
      <c r="E28" s="828"/>
      <c r="F28" s="829"/>
      <c r="I28" s="193"/>
    </row>
    <row r="29" spans="2:10" ht="15.6" x14ac:dyDescent="0.3">
      <c r="B29" s="417"/>
      <c r="C29" s="8"/>
      <c r="D29" s="8"/>
      <c r="E29" s="12"/>
      <c r="F29" s="202"/>
      <c r="I29" s="193"/>
    </row>
    <row r="30" spans="2:10" ht="16.2" thickBot="1" x14ac:dyDescent="0.35">
      <c r="B30" s="417"/>
      <c r="C30" s="8"/>
      <c r="D30" s="8"/>
      <c r="E30" s="12"/>
      <c r="F30" s="202"/>
      <c r="I30" s="193"/>
    </row>
    <row r="31" spans="2:10" x14ac:dyDescent="0.25">
      <c r="B31" s="368" t="s">
        <v>131</v>
      </c>
      <c r="C31" s="369"/>
      <c r="D31" s="369"/>
      <c r="E31" s="369"/>
      <c r="F31" s="370"/>
      <c r="I31" s="116"/>
    </row>
    <row r="32" spans="2:10" ht="16.2" thickBot="1" x14ac:dyDescent="0.35">
      <c r="B32" s="747" t="s">
        <v>83</v>
      </c>
      <c r="C32" s="748"/>
      <c r="D32" s="162"/>
      <c r="E32" s="749" t="s">
        <v>115</v>
      </c>
      <c r="F32" s="178"/>
      <c r="I32" s="116"/>
    </row>
    <row r="33" spans="2:8" ht="16.2" thickBot="1" x14ac:dyDescent="0.35">
      <c r="B33" s="98">
        <v>44926</v>
      </c>
      <c r="C33" s="92" t="s">
        <v>2</v>
      </c>
      <c r="D33" s="92"/>
      <c r="E33" s="509"/>
      <c r="F33" s="99">
        <v>10864.53</v>
      </c>
      <c r="H33" s="116">
        <v>10864.53</v>
      </c>
    </row>
    <row r="34" spans="2:8" ht="15.6" x14ac:dyDescent="0.3">
      <c r="B34" s="589"/>
      <c r="C34" s="590" t="s">
        <v>667</v>
      </c>
      <c r="D34" s="590"/>
      <c r="E34" s="591"/>
      <c r="F34" s="449"/>
      <c r="H34" s="116"/>
    </row>
    <row r="35" spans="2:8" ht="15.6" x14ac:dyDescent="0.3">
      <c r="B35" s="387">
        <v>45197</v>
      </c>
      <c r="C35" s="170" t="s">
        <v>685</v>
      </c>
      <c r="D35" s="170"/>
      <c r="E35" s="165"/>
      <c r="F35" s="210">
        <v>-154.28</v>
      </c>
      <c r="H35" s="420"/>
    </row>
    <row r="36" spans="2:8" ht="15.6" x14ac:dyDescent="0.3">
      <c r="B36" s="387">
        <v>45214</v>
      </c>
      <c r="C36" s="170" t="s">
        <v>686</v>
      </c>
      <c r="D36" s="170"/>
      <c r="E36" s="165"/>
      <c r="F36" s="210">
        <v>-290.5</v>
      </c>
      <c r="H36" s="420"/>
    </row>
    <row r="37" spans="2:8" ht="15.6" x14ac:dyDescent="0.3">
      <c r="B37" s="387">
        <v>45224</v>
      </c>
      <c r="C37" s="170" t="s">
        <v>687</v>
      </c>
      <c r="D37" s="170"/>
      <c r="E37" s="165"/>
      <c r="F37" s="210">
        <v>-81.75</v>
      </c>
      <c r="H37" s="420"/>
    </row>
    <row r="38" spans="2:8" ht="15.6" x14ac:dyDescent="0.3">
      <c r="B38" s="387">
        <v>45234</v>
      </c>
      <c r="C38" s="170" t="s">
        <v>690</v>
      </c>
      <c r="D38" s="170"/>
      <c r="E38" s="165"/>
      <c r="F38" s="210">
        <v>-117.62</v>
      </c>
      <c r="H38" s="420"/>
    </row>
    <row r="39" spans="2:8" ht="15.6" x14ac:dyDescent="0.3">
      <c r="B39" s="228"/>
      <c r="C39" s="170"/>
      <c r="D39" s="170"/>
      <c r="E39" s="165"/>
      <c r="F39" s="217"/>
      <c r="H39" s="116"/>
    </row>
    <row r="40" spans="2:8" ht="15.6" x14ac:dyDescent="0.3">
      <c r="B40" s="671"/>
      <c r="C40" s="664" t="s">
        <v>668</v>
      </c>
      <c r="D40" s="664"/>
      <c r="E40" s="664"/>
      <c r="F40" s="672">
        <f>SUM(F35:F39)</f>
        <v>-644.15</v>
      </c>
      <c r="H40" s="116"/>
    </row>
    <row r="41" spans="2:8" ht="15.6" x14ac:dyDescent="0.3">
      <c r="B41" s="387"/>
      <c r="C41" s="170" t="s">
        <v>669</v>
      </c>
      <c r="D41" s="170"/>
      <c r="E41" s="165"/>
      <c r="F41" s="210"/>
      <c r="H41" s="116"/>
    </row>
    <row r="42" spans="2:8" ht="15.6" x14ac:dyDescent="0.3">
      <c r="B42" s="387">
        <v>44927</v>
      </c>
      <c r="C42" s="170" t="s">
        <v>59</v>
      </c>
      <c r="D42" s="170"/>
      <c r="E42" s="165"/>
      <c r="F42" s="210">
        <v>3.37</v>
      </c>
      <c r="H42" s="800" t="s">
        <v>376</v>
      </c>
    </row>
    <row r="43" spans="2:8" ht="15.6" x14ac:dyDescent="0.3">
      <c r="B43" s="387"/>
      <c r="C43" s="170"/>
      <c r="D43" s="170"/>
      <c r="E43" s="165"/>
      <c r="F43" s="210"/>
      <c r="H43" s="116"/>
    </row>
    <row r="44" spans="2:8" ht="15.6" x14ac:dyDescent="0.3">
      <c r="B44" s="795"/>
      <c r="C44" s="665" t="s">
        <v>670</v>
      </c>
      <c r="D44" s="665"/>
      <c r="E44" s="665"/>
      <c r="F44" s="672">
        <f>SUM(F42:F43)</f>
        <v>3.37</v>
      </c>
      <c r="H44" s="116"/>
    </row>
    <row r="45" spans="2:8" ht="16.2" thickBot="1" x14ac:dyDescent="0.35">
      <c r="B45" s="98">
        <v>45291</v>
      </c>
      <c r="C45" s="92" t="s">
        <v>2</v>
      </c>
      <c r="D45" s="92"/>
      <c r="E45" s="509"/>
      <c r="F45" s="99">
        <f>F33+F40+F44</f>
        <v>10223.750000000002</v>
      </c>
      <c r="H45" s="116"/>
    </row>
    <row r="46" spans="2:8" ht="15.6" x14ac:dyDescent="0.3">
      <c r="B46" s="589"/>
      <c r="C46" s="590" t="s">
        <v>714</v>
      </c>
      <c r="D46" s="590"/>
      <c r="E46" s="591"/>
      <c r="F46" s="449"/>
      <c r="H46" s="116"/>
    </row>
    <row r="47" spans="2:8" ht="15.6" x14ac:dyDescent="0.3">
      <c r="B47" s="387"/>
      <c r="C47" s="170"/>
      <c r="D47" s="170"/>
      <c r="E47" s="165"/>
      <c r="F47" s="210"/>
      <c r="H47" s="116"/>
    </row>
    <row r="48" spans="2:8" ht="15.6" x14ac:dyDescent="0.3">
      <c r="B48" s="387"/>
      <c r="C48" s="170"/>
      <c r="D48" s="170"/>
      <c r="E48" s="165"/>
      <c r="F48" s="210"/>
      <c r="H48" s="116"/>
    </row>
    <row r="49" spans="2:10" ht="15.6" x14ac:dyDescent="0.3">
      <c r="B49" s="671"/>
      <c r="C49" s="664" t="s">
        <v>715</v>
      </c>
      <c r="D49" s="664"/>
      <c r="E49" s="664"/>
      <c r="F49" s="672">
        <f>SUM(F46)</f>
        <v>0</v>
      </c>
      <c r="H49" s="116"/>
    </row>
    <row r="50" spans="2:10" ht="15.6" x14ac:dyDescent="0.3">
      <c r="B50" s="387"/>
      <c r="C50" s="170" t="s">
        <v>716</v>
      </c>
      <c r="D50" s="170"/>
      <c r="E50" s="165"/>
      <c r="F50" s="210"/>
      <c r="H50" s="116"/>
    </row>
    <row r="51" spans="2:10" ht="15.6" x14ac:dyDescent="0.3">
      <c r="B51" s="387">
        <v>45292</v>
      </c>
      <c r="C51" s="170" t="s">
        <v>59</v>
      </c>
      <c r="D51" s="170"/>
      <c r="E51" s="165"/>
      <c r="F51" s="210">
        <v>112.38</v>
      </c>
      <c r="H51" s="116" t="s">
        <v>376</v>
      </c>
    </row>
    <row r="52" spans="2:10" ht="15.6" x14ac:dyDescent="0.3">
      <c r="B52" s="387"/>
      <c r="C52" s="170"/>
      <c r="D52" s="170"/>
      <c r="E52" s="165"/>
      <c r="F52" s="210"/>
      <c r="H52" s="116"/>
    </row>
    <row r="53" spans="2:10" ht="15.6" x14ac:dyDescent="0.3">
      <c r="B53" s="795"/>
      <c r="C53" s="665" t="s">
        <v>717</v>
      </c>
      <c r="D53" s="665"/>
      <c r="E53" s="665"/>
      <c r="F53" s="672">
        <f>SUM(F51:F52)</f>
        <v>112.38</v>
      </c>
      <c r="H53" s="116"/>
    </row>
    <row r="54" spans="2:10" ht="16.2" thickBot="1" x14ac:dyDescent="0.35">
      <c r="B54" s="98">
        <f>B2</f>
        <v>45657</v>
      </c>
      <c r="C54" s="92" t="s">
        <v>2</v>
      </c>
      <c r="D54" s="92"/>
      <c r="E54" s="509"/>
      <c r="F54" s="99">
        <f>F45+F49++F53</f>
        <v>10336.130000000001</v>
      </c>
      <c r="H54" s="116"/>
    </row>
    <row r="55" spans="2:10" ht="15.6" x14ac:dyDescent="0.3">
      <c r="B55" s="417"/>
      <c r="C55" s="8"/>
      <c r="D55" s="8"/>
      <c r="E55" s="12"/>
      <c r="F55" s="202"/>
      <c r="H55" s="116"/>
    </row>
    <row r="56" spans="2:10" ht="15.6" x14ac:dyDescent="0.3">
      <c r="B56" s="417"/>
      <c r="C56" s="8"/>
      <c r="D56" s="8"/>
      <c r="E56" s="12"/>
      <c r="F56" s="202"/>
      <c r="H56" s="116"/>
    </row>
    <row r="57" spans="2:10" ht="16.2" thickBot="1" x14ac:dyDescent="0.35">
      <c r="B57" s="417"/>
      <c r="C57" s="8"/>
      <c r="D57" s="8"/>
      <c r="E57" s="12"/>
      <c r="F57" s="202"/>
      <c r="H57" s="116"/>
    </row>
    <row r="58" spans="2:10" ht="15.6" x14ac:dyDescent="0.3">
      <c r="B58" s="223" t="s">
        <v>88</v>
      </c>
      <c r="C58" s="182"/>
      <c r="D58" s="182"/>
      <c r="E58" s="393" t="s">
        <v>116</v>
      </c>
      <c r="F58" s="394"/>
    </row>
    <row r="59" spans="2:10" ht="16.2" thickBot="1" x14ac:dyDescent="0.35">
      <c r="B59" s="98">
        <v>44926</v>
      </c>
      <c r="C59" s="92" t="s">
        <v>2</v>
      </c>
      <c r="D59" s="92"/>
      <c r="E59" s="509"/>
      <c r="F59" s="99">
        <v>3183.15</v>
      </c>
      <c r="H59">
        <v>3183.15</v>
      </c>
    </row>
    <row r="60" spans="2:10" ht="15.6" x14ac:dyDescent="0.3">
      <c r="B60" s="589"/>
      <c r="C60" s="590" t="s">
        <v>667</v>
      </c>
      <c r="D60" s="590"/>
      <c r="E60" s="591"/>
      <c r="F60" s="449"/>
    </row>
    <row r="61" spans="2:10" ht="15.6" x14ac:dyDescent="0.3">
      <c r="B61" s="387">
        <v>44944</v>
      </c>
      <c r="C61" s="170" t="s">
        <v>675</v>
      </c>
      <c r="D61" s="170"/>
      <c r="E61" s="165"/>
      <c r="F61" s="210">
        <v>-756.25</v>
      </c>
      <c r="H61" s="802" t="s">
        <v>664</v>
      </c>
      <c r="J61" s="95"/>
    </row>
    <row r="62" spans="2:10" ht="15.6" x14ac:dyDescent="0.3">
      <c r="B62" s="387">
        <v>45005</v>
      </c>
      <c r="C62" s="170" t="s">
        <v>674</v>
      </c>
      <c r="D62" s="170"/>
      <c r="E62" s="165"/>
      <c r="F62" s="210">
        <v>-2541</v>
      </c>
      <c r="H62" s="802" t="s">
        <v>664</v>
      </c>
      <c r="J62" s="95"/>
    </row>
    <row r="63" spans="2:10" ht="15.6" x14ac:dyDescent="0.3">
      <c r="B63" s="387">
        <v>45102</v>
      </c>
      <c r="C63" s="170" t="s">
        <v>678</v>
      </c>
      <c r="D63" s="170"/>
      <c r="E63" s="165"/>
      <c r="F63" s="210">
        <v>-242</v>
      </c>
      <c r="H63" s="802" t="s">
        <v>664</v>
      </c>
      <c r="J63" s="95"/>
    </row>
    <row r="64" spans="2:10" ht="15.6" x14ac:dyDescent="0.3">
      <c r="B64" s="387">
        <v>45102</v>
      </c>
      <c r="C64" s="170" t="s">
        <v>677</v>
      </c>
      <c r="D64" s="170"/>
      <c r="E64" s="165"/>
      <c r="F64" s="210">
        <v>-3050.19</v>
      </c>
      <c r="H64" s="802" t="s">
        <v>664</v>
      </c>
      <c r="J64" s="95"/>
    </row>
    <row r="65" spans="2:10" ht="15.6" x14ac:dyDescent="0.3">
      <c r="B65" s="387"/>
      <c r="C65" s="170"/>
      <c r="D65" s="170"/>
      <c r="E65" s="165"/>
      <c r="F65" s="210"/>
    </row>
    <row r="66" spans="2:10" ht="15.6" x14ac:dyDescent="0.3">
      <c r="B66" s="671"/>
      <c r="C66" s="664" t="s">
        <v>668</v>
      </c>
      <c r="D66" s="664"/>
      <c r="E66" s="664"/>
      <c r="F66" s="672">
        <f>SUM(F61:F65)</f>
        <v>-6589.4400000000005</v>
      </c>
    </row>
    <row r="67" spans="2:10" ht="15.6" x14ac:dyDescent="0.3">
      <c r="B67" s="387"/>
      <c r="C67" s="170" t="s">
        <v>669</v>
      </c>
      <c r="D67" s="170"/>
      <c r="E67" s="165"/>
      <c r="F67" s="210"/>
    </row>
    <row r="68" spans="2:10" ht="15.6" x14ac:dyDescent="0.3">
      <c r="B68" s="387">
        <v>45000</v>
      </c>
      <c r="C68" s="170" t="s">
        <v>673</v>
      </c>
      <c r="D68" s="170"/>
      <c r="E68" s="165"/>
      <c r="F68" s="210">
        <v>3000</v>
      </c>
      <c r="H68" s="800" t="s">
        <v>376</v>
      </c>
      <c r="J68" s="95"/>
    </row>
    <row r="69" spans="2:10" ht="15.6" x14ac:dyDescent="0.3">
      <c r="B69" s="387">
        <v>45224</v>
      </c>
      <c r="C69" s="170" t="s">
        <v>689</v>
      </c>
      <c r="D69" s="170"/>
      <c r="E69" s="165"/>
      <c r="F69" s="210">
        <v>1376</v>
      </c>
      <c r="H69" s="800" t="s">
        <v>376</v>
      </c>
      <c r="J69" s="95"/>
    </row>
    <row r="70" spans="2:10" ht="15.6" x14ac:dyDescent="0.3">
      <c r="B70" s="387"/>
      <c r="C70" s="170"/>
      <c r="D70" s="170"/>
      <c r="E70" s="165"/>
      <c r="F70" s="210"/>
    </row>
    <row r="71" spans="2:10" ht="15.6" x14ac:dyDescent="0.3">
      <c r="B71" s="795"/>
      <c r="C71" s="665" t="s">
        <v>670</v>
      </c>
      <c r="D71" s="665"/>
      <c r="E71" s="665"/>
      <c r="F71" s="672">
        <f>SUM(F68:F70)</f>
        <v>4376</v>
      </c>
    </row>
    <row r="72" spans="2:10" ht="16.2" thickBot="1" x14ac:dyDescent="0.35">
      <c r="B72" s="98">
        <f>'31 dec 2023'!C4</f>
        <v>45291</v>
      </c>
      <c r="C72" s="92" t="s">
        <v>2</v>
      </c>
      <c r="D72" s="92"/>
      <c r="E72" s="509"/>
      <c r="F72" s="99">
        <f>F59+F66+F71</f>
        <v>969.70999999999958</v>
      </c>
    </row>
    <row r="73" spans="2:10" ht="15.6" x14ac:dyDescent="0.3">
      <c r="B73" s="589"/>
      <c r="C73" s="590" t="s">
        <v>714</v>
      </c>
      <c r="D73" s="590"/>
      <c r="E73" s="591"/>
      <c r="F73" s="449"/>
    </row>
    <row r="74" spans="2:10" ht="15.6" x14ac:dyDescent="0.3">
      <c r="B74" s="387"/>
      <c r="C74" s="170"/>
      <c r="D74" s="170"/>
      <c r="E74" s="165"/>
      <c r="F74" s="210"/>
    </row>
    <row r="75" spans="2:10" ht="15.6" x14ac:dyDescent="0.3">
      <c r="B75" s="387"/>
      <c r="C75" s="170"/>
      <c r="D75" s="170"/>
      <c r="E75" s="165"/>
      <c r="F75" s="210"/>
    </row>
    <row r="76" spans="2:10" ht="15.6" x14ac:dyDescent="0.3">
      <c r="B76" s="671"/>
      <c r="C76" s="664" t="s">
        <v>715</v>
      </c>
      <c r="D76" s="664"/>
      <c r="E76" s="664"/>
      <c r="F76" s="672">
        <f>SUM(F73)</f>
        <v>0</v>
      </c>
    </row>
    <row r="77" spans="2:10" ht="15.6" x14ac:dyDescent="0.3">
      <c r="B77" s="387"/>
      <c r="C77" s="170" t="s">
        <v>716</v>
      </c>
      <c r="D77" s="170"/>
      <c r="E77" s="165"/>
      <c r="F77" s="210"/>
    </row>
    <row r="78" spans="2:10" ht="15.6" x14ac:dyDescent="0.3">
      <c r="B78" s="387"/>
      <c r="C78" s="170"/>
      <c r="D78" s="170"/>
      <c r="E78" s="165"/>
      <c r="F78" s="210"/>
    </row>
    <row r="79" spans="2:10" ht="15.6" x14ac:dyDescent="0.3">
      <c r="B79" s="795"/>
      <c r="C79" s="665" t="s">
        <v>717</v>
      </c>
      <c r="D79" s="665"/>
      <c r="E79" s="665"/>
      <c r="F79" s="672">
        <f>SUM(F78:F78)</f>
        <v>0</v>
      </c>
    </row>
    <row r="80" spans="2:10" ht="16.2" thickBot="1" x14ac:dyDescent="0.35">
      <c r="B80" s="98">
        <f>B2</f>
        <v>45657</v>
      </c>
      <c r="C80" s="92" t="s">
        <v>2</v>
      </c>
      <c r="D80" s="92"/>
      <c r="E80" s="509"/>
      <c r="F80" s="99">
        <f>F72+F76++F79</f>
        <v>969.70999999999958</v>
      </c>
    </row>
    <row r="81" spans="2:8" ht="16.2" thickBot="1" x14ac:dyDescent="0.35">
      <c r="B81" s="417"/>
      <c r="C81" s="8"/>
      <c r="D81" s="8"/>
      <c r="E81" s="12"/>
      <c r="F81" s="202"/>
    </row>
    <row r="82" spans="2:8" ht="15.6" x14ac:dyDescent="0.3">
      <c r="B82" s="223" t="s">
        <v>735</v>
      </c>
      <c r="C82" s="182"/>
      <c r="D82" s="182"/>
      <c r="E82" s="393" t="s">
        <v>117</v>
      </c>
      <c r="F82" s="394"/>
    </row>
    <row r="83" spans="2:8" ht="16.2" thickBot="1" x14ac:dyDescent="0.35">
      <c r="B83" s="98">
        <v>45291</v>
      </c>
      <c r="C83" s="92" t="s">
        <v>2</v>
      </c>
      <c r="D83" s="92"/>
      <c r="E83" s="509"/>
      <c r="F83" s="99">
        <v>0</v>
      </c>
    </row>
    <row r="84" spans="2:8" ht="15.6" x14ac:dyDescent="0.3">
      <c r="B84" s="589"/>
      <c r="C84" s="590" t="s">
        <v>714</v>
      </c>
      <c r="D84" s="590"/>
      <c r="E84" s="591"/>
      <c r="F84" s="449"/>
    </row>
    <row r="85" spans="2:8" ht="15.6" x14ac:dyDescent="0.3">
      <c r="B85" s="387"/>
      <c r="C85" s="170"/>
      <c r="D85" s="170"/>
      <c r="E85" s="165"/>
      <c r="F85" s="210"/>
    </row>
    <row r="86" spans="2:8" ht="15.6" x14ac:dyDescent="0.3">
      <c r="B86" s="387"/>
      <c r="C86" s="170"/>
      <c r="D86" s="170"/>
      <c r="E86" s="165"/>
      <c r="F86" s="210"/>
    </row>
    <row r="87" spans="2:8" ht="15.6" x14ac:dyDescent="0.3">
      <c r="B87" s="671"/>
      <c r="C87" s="664" t="s">
        <v>715</v>
      </c>
      <c r="D87" s="664"/>
      <c r="E87" s="664"/>
      <c r="F87" s="672">
        <f>SUM(F84)</f>
        <v>0</v>
      </c>
    </row>
    <row r="88" spans="2:8" ht="15.6" x14ac:dyDescent="0.3">
      <c r="B88" s="387"/>
      <c r="C88" s="170" t="s">
        <v>716</v>
      </c>
      <c r="D88" s="170"/>
      <c r="E88" s="165"/>
      <c r="F88" s="210"/>
    </row>
    <row r="89" spans="2:8" ht="15.6" x14ac:dyDescent="0.3">
      <c r="B89" s="387">
        <v>45352</v>
      </c>
      <c r="C89" s="170" t="s">
        <v>728</v>
      </c>
      <c r="D89" s="170"/>
      <c r="E89" s="165"/>
      <c r="F89" s="210">
        <v>5000</v>
      </c>
      <c r="H89" t="s">
        <v>376</v>
      </c>
    </row>
    <row r="90" spans="2:8" ht="15.6" x14ac:dyDescent="0.3">
      <c r="B90" s="387"/>
      <c r="C90" s="170"/>
      <c r="D90" s="170"/>
      <c r="E90" s="165"/>
      <c r="F90" s="210"/>
    </row>
    <row r="91" spans="2:8" ht="15.6" x14ac:dyDescent="0.3">
      <c r="B91" s="795"/>
      <c r="C91" s="665" t="s">
        <v>717</v>
      </c>
      <c r="D91" s="665"/>
      <c r="E91" s="665"/>
      <c r="F91" s="672">
        <f>SUM(F89:F90)</f>
        <v>5000</v>
      </c>
    </row>
    <row r="92" spans="2:8" ht="16.2" thickBot="1" x14ac:dyDescent="0.35">
      <c r="B92" s="98">
        <f>B2</f>
        <v>45657</v>
      </c>
      <c r="C92" s="92" t="s">
        <v>2</v>
      </c>
      <c r="D92" s="92"/>
      <c r="E92" s="509"/>
      <c r="F92" s="99">
        <f>F83+F87++F91</f>
        <v>5000</v>
      </c>
    </row>
    <row r="93" spans="2:8" ht="15.6" x14ac:dyDescent="0.3">
      <c r="B93" s="416"/>
      <c r="C93" s="8"/>
      <c r="D93" s="8"/>
      <c r="E93" s="12"/>
      <c r="F93" s="418"/>
    </row>
    <row r="94" spans="2:8" ht="16.2" thickBot="1" x14ac:dyDescent="0.35">
      <c r="B94" s="416"/>
      <c r="C94" s="8"/>
      <c r="D94" s="8"/>
      <c r="E94" s="12"/>
      <c r="F94" s="418"/>
    </row>
    <row r="95" spans="2:8" ht="15.6" x14ac:dyDescent="0.3">
      <c r="B95" s="223" t="s">
        <v>226</v>
      </c>
      <c r="C95" s="182"/>
      <c r="D95" s="182"/>
      <c r="E95" s="397" t="s">
        <v>141</v>
      </c>
      <c r="F95" s="394"/>
    </row>
    <row r="96" spans="2:8" ht="16.2" thickBot="1" x14ac:dyDescent="0.35">
      <c r="B96" s="98">
        <v>44926</v>
      </c>
      <c r="C96" s="92" t="s">
        <v>2</v>
      </c>
      <c r="D96" s="92"/>
      <c r="E96" s="509"/>
      <c r="F96" s="99">
        <v>2849.88</v>
      </c>
      <c r="H96">
        <v>2849.88</v>
      </c>
    </row>
    <row r="97" spans="2:10" ht="15.6" x14ac:dyDescent="0.3">
      <c r="B97" s="589"/>
      <c r="C97" s="590" t="s">
        <v>667</v>
      </c>
      <c r="D97" s="590"/>
      <c r="E97" s="591"/>
      <c r="F97" s="449"/>
    </row>
    <row r="98" spans="2:10" ht="15.6" x14ac:dyDescent="0.3">
      <c r="B98" s="387">
        <v>45108</v>
      </c>
      <c r="C98" s="228" t="s">
        <v>707</v>
      </c>
      <c r="D98" s="228"/>
      <c r="E98" s="228"/>
      <c r="F98" s="820">
        <v>-2274</v>
      </c>
      <c r="H98" t="s">
        <v>376</v>
      </c>
      <c r="J98" s="95"/>
    </row>
    <row r="99" spans="2:10" ht="15.6" x14ac:dyDescent="0.3">
      <c r="B99" s="387"/>
      <c r="C99" s="228" t="s">
        <v>708</v>
      </c>
      <c r="D99" s="228"/>
      <c r="E99" s="228"/>
      <c r="F99" s="228"/>
      <c r="J99" s="95"/>
    </row>
    <row r="100" spans="2:10" ht="15.6" x14ac:dyDescent="0.3">
      <c r="B100" s="671"/>
      <c r="C100" s="664" t="s">
        <v>668</v>
      </c>
      <c r="D100" s="664"/>
      <c r="E100" s="664"/>
      <c r="F100" s="672">
        <f>F98</f>
        <v>-2274</v>
      </c>
    </row>
    <row r="101" spans="2:10" ht="15.6" x14ac:dyDescent="0.3">
      <c r="B101" s="387"/>
      <c r="C101" s="170" t="s">
        <v>669</v>
      </c>
      <c r="D101" s="170"/>
      <c r="E101" s="165"/>
      <c r="F101" s="210"/>
    </row>
    <row r="102" spans="2:10" ht="15.6" x14ac:dyDescent="0.3">
      <c r="B102" s="387">
        <v>45078</v>
      </c>
      <c r="C102" s="170" t="s">
        <v>676</v>
      </c>
      <c r="D102" s="170"/>
      <c r="E102" s="165"/>
      <c r="F102" s="210">
        <v>14</v>
      </c>
      <c r="H102" s="800" t="s">
        <v>376</v>
      </c>
      <c r="J102" s="95"/>
    </row>
    <row r="103" spans="2:10" ht="15.6" x14ac:dyDescent="0.3">
      <c r="B103" s="387"/>
      <c r="C103" s="170"/>
      <c r="D103" s="170"/>
      <c r="E103" s="165"/>
      <c r="F103" s="210"/>
    </row>
    <row r="104" spans="2:10" ht="15.6" x14ac:dyDescent="0.3">
      <c r="B104" s="795"/>
      <c r="C104" s="665" t="s">
        <v>670</v>
      </c>
      <c r="D104" s="665"/>
      <c r="E104" s="665"/>
      <c r="F104" s="672">
        <f>SUM(F102:F103)</f>
        <v>14</v>
      </c>
    </row>
    <row r="105" spans="2:10" ht="16.2" thickBot="1" x14ac:dyDescent="0.35">
      <c r="B105" s="98">
        <v>45291</v>
      </c>
      <c r="C105" s="92" t="s">
        <v>2</v>
      </c>
      <c r="D105" s="92"/>
      <c r="E105" s="509"/>
      <c r="F105" s="99">
        <f>F96+F100+F104</f>
        <v>589.88000000000011</v>
      </c>
    </row>
    <row r="106" spans="2:10" ht="15.6" x14ac:dyDescent="0.3">
      <c r="B106" s="589"/>
      <c r="C106" s="590" t="s">
        <v>714</v>
      </c>
      <c r="D106" s="590"/>
      <c r="E106" s="591"/>
      <c r="F106" s="449"/>
    </row>
    <row r="107" spans="2:10" ht="15.6" x14ac:dyDescent="0.3">
      <c r="B107" s="387"/>
      <c r="C107" s="170"/>
      <c r="D107" s="170"/>
      <c r="E107" s="165"/>
      <c r="F107" s="210"/>
    </row>
    <row r="108" spans="2:10" ht="15.6" x14ac:dyDescent="0.3">
      <c r="B108" s="387"/>
      <c r="C108" s="170"/>
      <c r="D108" s="170"/>
      <c r="E108" s="165"/>
      <c r="F108" s="210"/>
    </row>
    <row r="109" spans="2:10" ht="15.6" x14ac:dyDescent="0.3">
      <c r="B109" s="671"/>
      <c r="C109" s="664" t="s">
        <v>715</v>
      </c>
      <c r="D109" s="664"/>
      <c r="E109" s="664"/>
      <c r="F109" s="672">
        <f>SUM(F106)</f>
        <v>0</v>
      </c>
    </row>
    <row r="110" spans="2:10" ht="15.6" x14ac:dyDescent="0.3">
      <c r="B110" s="387"/>
      <c r="C110" s="170" t="s">
        <v>716</v>
      </c>
      <c r="D110" s="170"/>
      <c r="E110" s="165"/>
      <c r="F110" s="210"/>
    </row>
    <row r="111" spans="2:10" ht="15.6" x14ac:dyDescent="0.3">
      <c r="B111" s="387"/>
      <c r="C111" s="170"/>
      <c r="D111" s="170"/>
      <c r="E111" s="165"/>
      <c r="F111" s="210"/>
    </row>
    <row r="112" spans="2:10" ht="15.6" x14ac:dyDescent="0.3">
      <c r="B112" s="387"/>
      <c r="C112" s="170"/>
      <c r="D112" s="170"/>
      <c r="E112" s="165"/>
      <c r="F112" s="210"/>
    </row>
    <row r="113" spans="2:8" ht="15.6" x14ac:dyDescent="0.3">
      <c r="B113" s="795"/>
      <c r="C113" s="665" t="s">
        <v>717</v>
      </c>
      <c r="D113" s="665"/>
      <c r="E113" s="665"/>
      <c r="F113" s="672">
        <f>SUM(F111:F112)</f>
        <v>0</v>
      </c>
    </row>
    <row r="114" spans="2:8" ht="16.2" thickBot="1" x14ac:dyDescent="0.35">
      <c r="B114" s="98">
        <f>B2</f>
        <v>45657</v>
      </c>
      <c r="C114" s="92" t="s">
        <v>2</v>
      </c>
      <c r="D114" s="92"/>
      <c r="E114" s="509"/>
      <c r="F114" s="99">
        <f>F105+F109++F113</f>
        <v>589.88000000000011</v>
      </c>
    </row>
    <row r="115" spans="2:8" ht="15.6" x14ac:dyDescent="0.3">
      <c r="B115" s="417"/>
      <c r="C115" s="8"/>
      <c r="D115" s="8"/>
      <c r="E115" s="12"/>
      <c r="F115" s="202"/>
    </row>
    <row r="116" spans="2:8" ht="13.8" thickBot="1" x14ac:dyDescent="0.3"/>
    <row r="117" spans="2:8" ht="15.6" x14ac:dyDescent="0.3">
      <c r="B117" s="223" t="s">
        <v>593</v>
      </c>
      <c r="C117" s="182"/>
      <c r="D117" s="182"/>
      <c r="E117" s="397" t="s">
        <v>520</v>
      </c>
      <c r="F117" s="394"/>
    </row>
    <row r="118" spans="2:8" ht="16.2" thickBot="1" x14ac:dyDescent="0.35">
      <c r="B118" s="98">
        <v>44704</v>
      </c>
      <c r="C118" s="92" t="s">
        <v>2</v>
      </c>
      <c r="D118" s="92"/>
      <c r="E118" s="509"/>
      <c r="F118" s="99">
        <v>0</v>
      </c>
    </row>
    <row r="119" spans="2:8" ht="15.6" x14ac:dyDescent="0.3">
      <c r="B119" s="796" t="s">
        <v>644</v>
      </c>
      <c r="C119" s="506"/>
      <c r="D119" s="506"/>
      <c r="E119" s="797"/>
      <c r="F119" s="539"/>
    </row>
    <row r="120" spans="2:8" ht="16.2" thickBot="1" x14ac:dyDescent="0.35">
      <c r="B120" s="796" t="s">
        <v>645</v>
      </c>
      <c r="C120" s="506"/>
      <c r="D120" s="506"/>
      <c r="E120" s="797"/>
      <c r="F120" s="539"/>
    </row>
    <row r="121" spans="2:8" ht="16.2" thickBot="1" x14ac:dyDescent="0.35">
      <c r="B121" s="702"/>
      <c r="C121" s="31"/>
      <c r="D121" s="31"/>
      <c r="E121" s="75"/>
      <c r="F121" s="703"/>
    </row>
    <row r="122" spans="2:8" ht="16.2" thickBot="1" x14ac:dyDescent="0.35">
      <c r="B122" s="660" t="s">
        <v>691</v>
      </c>
      <c r="C122" s="807"/>
      <c r="D122" s="807"/>
      <c r="E122" s="808" t="s">
        <v>692</v>
      </c>
      <c r="F122" s="809"/>
    </row>
    <row r="123" spans="2:8" ht="15.6" x14ac:dyDescent="0.3">
      <c r="B123" s="151">
        <v>44926</v>
      </c>
      <c r="C123" s="96" t="s">
        <v>2</v>
      </c>
      <c r="D123" s="96"/>
      <c r="E123" s="806"/>
      <c r="F123" s="152">
        <v>0</v>
      </c>
    </row>
    <row r="124" spans="2:8" ht="15.6" x14ac:dyDescent="0.3">
      <c r="B124" s="387"/>
      <c r="C124" s="170" t="s">
        <v>667</v>
      </c>
      <c r="D124" s="170"/>
      <c r="E124" s="763"/>
      <c r="F124" s="210"/>
    </row>
    <row r="125" spans="2:8" ht="15.6" x14ac:dyDescent="0.3">
      <c r="B125" s="387">
        <v>45120</v>
      </c>
      <c r="C125" s="170" t="s">
        <v>684</v>
      </c>
      <c r="D125" s="170"/>
      <c r="E125" s="165"/>
      <c r="F125" s="210">
        <v>-5000</v>
      </c>
      <c r="H125" s="7" t="s">
        <v>738</v>
      </c>
    </row>
    <row r="126" spans="2:8" ht="15.6" x14ac:dyDescent="0.3">
      <c r="B126" s="228">
        <v>45120</v>
      </c>
      <c r="C126" s="170" t="s">
        <v>697</v>
      </c>
      <c r="D126" s="170"/>
      <c r="E126" s="165"/>
      <c r="F126" s="217">
        <v>-140</v>
      </c>
      <c r="H126" t="s">
        <v>738</v>
      </c>
    </row>
    <row r="127" spans="2:8" ht="15.6" x14ac:dyDescent="0.3">
      <c r="B127" s="387"/>
      <c r="C127" s="170"/>
      <c r="D127" s="170"/>
      <c r="E127" s="763"/>
      <c r="F127" s="210"/>
    </row>
    <row r="128" spans="2:8" ht="15.6" x14ac:dyDescent="0.3">
      <c r="B128" s="387">
        <v>45255</v>
      </c>
      <c r="C128" s="170" t="s">
        <v>698</v>
      </c>
      <c r="D128" s="170"/>
      <c r="E128" s="165"/>
      <c r="F128" s="210">
        <v>-1630.46</v>
      </c>
      <c r="H128" t="s">
        <v>376</v>
      </c>
    </row>
    <row r="129" spans="2:9" x14ac:dyDescent="0.25">
      <c r="B129" s="167"/>
      <c r="C129" s="168"/>
      <c r="D129" s="168"/>
      <c r="E129" s="168"/>
      <c r="F129" s="810"/>
    </row>
    <row r="130" spans="2:9" ht="16.2" thickBot="1" x14ac:dyDescent="0.35">
      <c r="B130" s="592"/>
      <c r="C130" s="805" t="s">
        <v>668</v>
      </c>
      <c r="D130" s="805"/>
      <c r="E130" s="805"/>
      <c r="F130" s="595">
        <f>SUM(F125:F129)</f>
        <v>-6770.46</v>
      </c>
    </row>
    <row r="131" spans="2:9" ht="15.6" x14ac:dyDescent="0.3">
      <c r="B131" s="416"/>
      <c r="C131" s="8" t="s">
        <v>669</v>
      </c>
      <c r="D131" s="8"/>
      <c r="E131" s="4"/>
      <c r="F131" s="418"/>
    </row>
    <row r="132" spans="2:9" ht="15.6" x14ac:dyDescent="0.3">
      <c r="B132" s="387">
        <v>45108</v>
      </c>
      <c r="C132" s="228" t="s">
        <v>707</v>
      </c>
      <c r="D132" s="228"/>
      <c r="E132" s="228"/>
      <c r="F132" s="820">
        <f>-F98</f>
        <v>2274</v>
      </c>
      <c r="H132" s="7" t="s">
        <v>709</v>
      </c>
    </row>
    <row r="133" spans="2:9" ht="15.6" x14ac:dyDescent="0.3">
      <c r="B133" s="387">
        <v>45115</v>
      </c>
      <c r="C133" s="170" t="s">
        <v>679</v>
      </c>
      <c r="D133" s="170"/>
      <c r="E133" s="165"/>
      <c r="F133" s="210">
        <v>1433</v>
      </c>
      <c r="H133" s="800" t="s">
        <v>376</v>
      </c>
      <c r="I133" s="793" t="s">
        <v>727</v>
      </c>
    </row>
    <row r="134" spans="2:9" ht="15.6" x14ac:dyDescent="0.3">
      <c r="B134" s="387">
        <v>45117</v>
      </c>
      <c r="C134" s="170" t="s">
        <v>680</v>
      </c>
      <c r="D134" s="170"/>
      <c r="E134" s="165"/>
      <c r="F134" s="210">
        <v>1433</v>
      </c>
      <c r="H134" s="800" t="s">
        <v>376</v>
      </c>
      <c r="I134" s="793" t="s">
        <v>727</v>
      </c>
    </row>
    <row r="135" spans="2:9" ht="15.6" x14ac:dyDescent="0.3">
      <c r="B135" s="387">
        <v>45216</v>
      </c>
      <c r="C135" s="170" t="s">
        <v>688</v>
      </c>
      <c r="D135" s="170"/>
      <c r="E135" s="165"/>
      <c r="F135" s="210">
        <v>5000</v>
      </c>
      <c r="H135" s="7" t="s">
        <v>376</v>
      </c>
    </row>
    <row r="136" spans="2:9" ht="15.6" x14ac:dyDescent="0.3">
      <c r="B136" s="387">
        <v>45216</v>
      </c>
      <c r="C136" s="170" t="s">
        <v>688</v>
      </c>
      <c r="D136" s="170"/>
      <c r="E136" s="165"/>
      <c r="F136" s="210">
        <v>487.49</v>
      </c>
      <c r="H136" s="7" t="s">
        <v>376</v>
      </c>
    </row>
    <row r="137" spans="2:9" ht="15.6" x14ac:dyDescent="0.3">
      <c r="B137" s="387">
        <v>45262</v>
      </c>
      <c r="C137" s="170" t="s">
        <v>694</v>
      </c>
      <c r="D137" s="170"/>
      <c r="E137" s="165"/>
      <c r="F137" s="210">
        <v>250</v>
      </c>
      <c r="H137" s="7" t="s">
        <v>376</v>
      </c>
    </row>
    <row r="138" spans="2:9" ht="15.6" x14ac:dyDescent="0.3">
      <c r="B138" s="387">
        <v>45280</v>
      </c>
      <c r="C138" s="170" t="s">
        <v>695</v>
      </c>
      <c r="D138" s="170"/>
      <c r="E138" s="165"/>
      <c r="F138" s="210">
        <v>200</v>
      </c>
      <c r="H138" s="7" t="s">
        <v>376</v>
      </c>
    </row>
    <row r="139" spans="2:9" ht="15.6" x14ac:dyDescent="0.3">
      <c r="B139" s="387">
        <v>45287</v>
      </c>
      <c r="C139" s="170" t="s">
        <v>696</v>
      </c>
      <c r="D139" s="170"/>
      <c r="E139" s="165"/>
      <c r="F139" s="210">
        <v>2000</v>
      </c>
      <c r="H139" s="7" t="s">
        <v>376</v>
      </c>
    </row>
    <row r="140" spans="2:9" ht="15.6" x14ac:dyDescent="0.3">
      <c r="B140" s="387">
        <v>45291</v>
      </c>
      <c r="C140" s="170" t="s">
        <v>693</v>
      </c>
      <c r="D140" s="170"/>
      <c r="E140" s="165"/>
      <c r="F140" s="210">
        <v>2000</v>
      </c>
      <c r="H140" s="7" t="s">
        <v>376</v>
      </c>
    </row>
    <row r="141" spans="2:9" ht="15.6" x14ac:dyDescent="0.3">
      <c r="B141" s="795"/>
      <c r="C141" s="665" t="s">
        <v>670</v>
      </c>
      <c r="D141" s="665"/>
      <c r="E141" s="665"/>
      <c r="F141" s="762">
        <f>SUM(F132:F140)</f>
        <v>15077.49</v>
      </c>
    </row>
    <row r="142" spans="2:9" ht="16.2" thickBot="1" x14ac:dyDescent="0.35">
      <c r="B142" s="98">
        <v>45291</v>
      </c>
      <c r="C142" s="92" t="s">
        <v>2</v>
      </c>
      <c r="D142" s="92"/>
      <c r="E142" s="509"/>
      <c r="F142" s="99">
        <f>F123+F130+F141</f>
        <v>8307.0299999999988</v>
      </c>
    </row>
    <row r="143" spans="2:9" ht="15.6" x14ac:dyDescent="0.3">
      <c r="B143" s="589"/>
      <c r="C143" s="590" t="s">
        <v>714</v>
      </c>
      <c r="D143" s="590"/>
      <c r="E143" s="591"/>
      <c r="F143" s="449"/>
    </row>
    <row r="144" spans="2:9" ht="15.6" x14ac:dyDescent="0.3">
      <c r="B144" s="387">
        <v>45328</v>
      </c>
      <c r="C144" s="170" t="s">
        <v>725</v>
      </c>
      <c r="D144" s="170"/>
      <c r="E144" s="165"/>
      <c r="F144" s="210">
        <v>-1433</v>
      </c>
      <c r="H144" s="7" t="s">
        <v>724</v>
      </c>
    </row>
    <row r="145" spans="2:8" ht="15.6" x14ac:dyDescent="0.3">
      <c r="B145" s="387">
        <v>45328</v>
      </c>
      <c r="C145" s="170" t="s">
        <v>726</v>
      </c>
      <c r="D145" s="170"/>
      <c r="E145" s="165"/>
      <c r="F145" s="210">
        <v>-1433</v>
      </c>
      <c r="H145" s="7" t="s">
        <v>724</v>
      </c>
    </row>
    <row r="146" spans="2:8" ht="15.6" x14ac:dyDescent="0.3">
      <c r="B146" s="387">
        <v>45534</v>
      </c>
      <c r="C146" s="170" t="s">
        <v>733</v>
      </c>
      <c r="D146" s="170"/>
      <c r="E146" s="763" t="s">
        <v>730</v>
      </c>
      <c r="F146" s="210">
        <v>-5000</v>
      </c>
      <c r="H146" s="7" t="s">
        <v>732</v>
      </c>
    </row>
    <row r="147" spans="2:8" ht="15.6" x14ac:dyDescent="0.3">
      <c r="B147" s="387">
        <v>45535</v>
      </c>
      <c r="C147" s="170" t="s">
        <v>734</v>
      </c>
      <c r="D147" s="170"/>
      <c r="E147" s="763" t="s">
        <v>731</v>
      </c>
      <c r="F147" s="210">
        <v>-785.74</v>
      </c>
      <c r="H147" s="7" t="s">
        <v>732</v>
      </c>
    </row>
    <row r="148" spans="2:8" ht="15.6" x14ac:dyDescent="0.3">
      <c r="B148" s="387">
        <v>45634</v>
      </c>
      <c r="C148" s="170" t="s">
        <v>736</v>
      </c>
      <c r="D148" s="170"/>
      <c r="E148" s="165"/>
      <c r="F148" s="210">
        <v>-273</v>
      </c>
      <c r="H148" s="7" t="s">
        <v>737</v>
      </c>
    </row>
    <row r="149" spans="2:8" ht="15.6" x14ac:dyDescent="0.3">
      <c r="B149" s="387">
        <v>45637</v>
      </c>
      <c r="C149" s="170" t="s">
        <v>739</v>
      </c>
      <c r="D149" s="170"/>
      <c r="E149" s="165"/>
      <c r="F149" s="210">
        <v>-5000</v>
      </c>
      <c r="H149" s="7" t="s">
        <v>741</v>
      </c>
    </row>
    <row r="150" spans="2:8" ht="15.6" x14ac:dyDescent="0.3">
      <c r="B150" s="387">
        <v>45638</v>
      </c>
      <c r="C150" s="170" t="s">
        <v>740</v>
      </c>
      <c r="D150" s="170"/>
      <c r="E150" s="165"/>
      <c r="F150" s="210">
        <v>0</v>
      </c>
      <c r="H150" s="7" t="s">
        <v>741</v>
      </c>
    </row>
    <row r="151" spans="2:8" ht="15.6" x14ac:dyDescent="0.3">
      <c r="B151" s="387"/>
      <c r="C151" s="170"/>
      <c r="D151" s="170"/>
      <c r="E151" s="165"/>
      <c r="F151" s="832"/>
      <c r="H151" s="7"/>
    </row>
    <row r="152" spans="2:8" ht="15.6" x14ac:dyDescent="0.3">
      <c r="B152" s="671"/>
      <c r="C152" s="664" t="s">
        <v>715</v>
      </c>
      <c r="D152" s="664"/>
      <c r="E152" s="664"/>
      <c r="F152" s="672">
        <f>SUM(F144:F150)</f>
        <v>-13924.74</v>
      </c>
    </row>
    <row r="153" spans="2:8" ht="15.6" x14ac:dyDescent="0.3">
      <c r="B153" s="387"/>
      <c r="C153" s="170" t="s">
        <v>716</v>
      </c>
      <c r="D153" s="170"/>
      <c r="E153" s="165"/>
      <c r="F153" s="210"/>
    </row>
    <row r="154" spans="2:8" ht="15.6" x14ac:dyDescent="0.3">
      <c r="B154" s="387">
        <v>45386</v>
      </c>
      <c r="C154" s="170" t="s">
        <v>729</v>
      </c>
      <c r="D154" s="170"/>
      <c r="E154" s="165"/>
      <c r="F154" s="210">
        <v>6143</v>
      </c>
      <c r="H154" t="s">
        <v>376</v>
      </c>
    </row>
    <row r="155" spans="2:8" ht="15.6" x14ac:dyDescent="0.3">
      <c r="B155" s="387">
        <v>45616</v>
      </c>
      <c r="C155" s="170" t="s">
        <v>729</v>
      </c>
      <c r="D155" s="170"/>
      <c r="E155" s="165"/>
      <c r="F155" s="210">
        <v>6143</v>
      </c>
      <c r="H155" t="s">
        <v>376</v>
      </c>
    </row>
    <row r="156" spans="2:8" ht="16.2" thickBot="1" x14ac:dyDescent="0.35">
      <c r="B156" s="795"/>
      <c r="C156" s="665" t="s">
        <v>717</v>
      </c>
      <c r="D156" s="665"/>
      <c r="E156" s="665"/>
      <c r="F156" s="672">
        <f>SUM(F154:F155)</f>
        <v>12286</v>
      </c>
    </row>
    <row r="157" spans="2:8" ht="16.2" thickBot="1" x14ac:dyDescent="0.35">
      <c r="B157" s="667">
        <f>B2</f>
        <v>45657</v>
      </c>
      <c r="C157" s="668" t="s">
        <v>2</v>
      </c>
      <c r="D157" s="668"/>
      <c r="E157" s="669"/>
      <c r="F157" s="670">
        <f>F142+F152++F156</f>
        <v>6668.2899999999991</v>
      </c>
    </row>
    <row r="158" spans="2:8" ht="15.6" x14ac:dyDescent="0.3">
      <c r="B158" s="417"/>
      <c r="C158" s="8"/>
      <c r="D158" s="8"/>
      <c r="E158" s="12"/>
      <c r="F158" s="202"/>
    </row>
    <row r="159" spans="2:8" ht="16.2" thickBot="1" x14ac:dyDescent="0.35">
      <c r="B159" s="417"/>
      <c r="C159" s="8"/>
      <c r="D159" s="8"/>
      <c r="E159" s="12"/>
      <c r="F159" s="202"/>
    </row>
    <row r="160" spans="2:8" ht="16.2" thickBot="1" x14ac:dyDescent="0.35">
      <c r="B160" s="660" t="s">
        <v>566</v>
      </c>
      <c r="C160" s="807"/>
      <c r="D160" s="807"/>
      <c r="E160" s="808"/>
      <c r="F160" s="809"/>
    </row>
    <row r="161" spans="2:8" ht="15.6" x14ac:dyDescent="0.3">
      <c r="B161" s="105">
        <v>44196</v>
      </c>
      <c r="C161" s="227" t="s">
        <v>552</v>
      </c>
      <c r="D161" s="114"/>
      <c r="E161" s="227"/>
      <c r="F161" s="152">
        <f>'proj 2021'!F189</f>
        <v>1020.460000000009</v>
      </c>
    </row>
    <row r="162" spans="2:8" ht="15.6" x14ac:dyDescent="0.3">
      <c r="B162" s="729"/>
      <c r="C162" s="730" t="s">
        <v>595</v>
      </c>
      <c r="D162" s="664"/>
      <c r="E162" s="731"/>
      <c r="F162" s="672"/>
    </row>
    <row r="163" spans="2:8" ht="15.6" x14ac:dyDescent="0.3">
      <c r="B163" s="359"/>
      <c r="C163" s="211"/>
      <c r="D163" s="228"/>
      <c r="E163" s="217"/>
      <c r="F163" s="210"/>
    </row>
    <row r="164" spans="2:8" ht="15.6" x14ac:dyDescent="0.3">
      <c r="B164" s="754"/>
      <c r="C164" s="755" t="s">
        <v>596</v>
      </c>
      <c r="D164" s="756"/>
      <c r="E164" s="757"/>
      <c r="F164" s="758"/>
    </row>
    <row r="165" spans="2:8" ht="15.6" x14ac:dyDescent="0.3">
      <c r="B165" s="359">
        <v>44280</v>
      </c>
      <c r="C165" s="211" t="s">
        <v>599</v>
      </c>
      <c r="D165" s="228"/>
      <c r="E165" s="217"/>
      <c r="F165" s="210">
        <v>-200</v>
      </c>
    </row>
    <row r="166" spans="2:8" ht="15.6" x14ac:dyDescent="0.3">
      <c r="B166" s="754"/>
      <c r="C166" s="755"/>
      <c r="D166" s="756"/>
      <c r="E166" s="757"/>
      <c r="F166" s="758"/>
    </row>
    <row r="167" spans="2:8" ht="16.2" thickBot="1" x14ac:dyDescent="0.35">
      <c r="B167" s="732">
        <v>44926</v>
      </c>
      <c r="C167" s="733" t="s">
        <v>566</v>
      </c>
      <c r="D167" s="618"/>
      <c r="E167" s="734"/>
      <c r="F167" s="99">
        <v>820.46</v>
      </c>
      <c r="H167">
        <v>820.46</v>
      </c>
    </row>
    <row r="168" spans="2:8" ht="15.6" x14ac:dyDescent="0.3">
      <c r="B168" s="729"/>
      <c r="C168" s="730" t="s">
        <v>671</v>
      </c>
      <c r="D168" s="664"/>
      <c r="E168" s="731"/>
      <c r="F168" s="672"/>
    </row>
    <row r="169" spans="2:8" ht="15.6" x14ac:dyDescent="0.3">
      <c r="B169" s="359"/>
      <c r="C169" s="211"/>
      <c r="D169" s="228"/>
      <c r="E169" s="217"/>
      <c r="F169" s="210"/>
    </row>
    <row r="170" spans="2:8" ht="15.6" x14ac:dyDescent="0.3">
      <c r="B170" s="754"/>
      <c r="C170" s="755" t="s">
        <v>672</v>
      </c>
      <c r="D170" s="756"/>
      <c r="E170" s="757"/>
      <c r="F170" s="758"/>
    </row>
    <row r="171" spans="2:8" ht="15.6" x14ac:dyDescent="0.3">
      <c r="B171" s="359"/>
      <c r="C171" s="211">
        <v>45005</v>
      </c>
      <c r="D171" s="228"/>
      <c r="E171" s="217"/>
      <c r="F171" s="210">
        <v>-100</v>
      </c>
      <c r="H171" s="7" t="s">
        <v>683</v>
      </c>
    </row>
    <row r="172" spans="2:8" ht="15.6" x14ac:dyDescent="0.3">
      <c r="B172" s="359"/>
      <c r="C172" s="211">
        <v>45102</v>
      </c>
      <c r="D172" s="228"/>
      <c r="E172" s="217"/>
      <c r="F172" s="210">
        <v>-50</v>
      </c>
      <c r="H172" s="7" t="s">
        <v>683</v>
      </c>
    </row>
    <row r="173" spans="2:8" ht="15.6" x14ac:dyDescent="0.3">
      <c r="B173" s="359"/>
      <c r="C173" s="211">
        <v>45290</v>
      </c>
      <c r="D173" s="228"/>
      <c r="E173" s="217"/>
      <c r="F173" s="210">
        <v>-62.73</v>
      </c>
      <c r="H173" s="7" t="s">
        <v>683</v>
      </c>
    </row>
    <row r="174" spans="2:8" ht="15.6" x14ac:dyDescent="0.3">
      <c r="B174" s="359"/>
      <c r="C174" s="211"/>
      <c r="D174" s="228"/>
      <c r="E174" s="217"/>
      <c r="F174" s="210"/>
    </row>
    <row r="175" spans="2:8" ht="15.6" x14ac:dyDescent="0.3">
      <c r="B175" s="754"/>
      <c r="C175" s="755" t="s">
        <v>713</v>
      </c>
      <c r="D175" s="756"/>
      <c r="E175" s="757"/>
      <c r="F175" s="758">
        <f>SUM(F171:F173)</f>
        <v>-212.73</v>
      </c>
    </row>
    <row r="176" spans="2:8" ht="16.2" thickBot="1" x14ac:dyDescent="0.35">
      <c r="B176" s="732">
        <v>45291</v>
      </c>
      <c r="C176" s="733" t="s">
        <v>566</v>
      </c>
      <c r="D176" s="618"/>
      <c r="E176" s="734"/>
      <c r="F176" s="99">
        <f>F167+F175</f>
        <v>607.73</v>
      </c>
      <c r="H176" s="116"/>
    </row>
    <row r="177" spans="2:8" ht="15.6" x14ac:dyDescent="0.3">
      <c r="B177" s="589"/>
      <c r="C177" s="590" t="s">
        <v>719</v>
      </c>
      <c r="D177" s="590"/>
      <c r="E177" s="591"/>
      <c r="F177" s="449"/>
    </row>
    <row r="178" spans="2:8" ht="15.6" x14ac:dyDescent="0.3">
      <c r="B178" s="387">
        <v>45294</v>
      </c>
      <c r="C178" s="170" t="s">
        <v>722</v>
      </c>
      <c r="D178" s="170"/>
      <c r="E178" s="165"/>
      <c r="F178" s="210">
        <v>-14.39</v>
      </c>
      <c r="H178" t="s">
        <v>376</v>
      </c>
    </row>
    <row r="179" spans="2:8" ht="15.6" x14ac:dyDescent="0.3">
      <c r="B179" s="387">
        <v>45324</v>
      </c>
      <c r="C179" s="170" t="s">
        <v>722</v>
      </c>
      <c r="D179" s="170"/>
      <c r="E179" s="165"/>
      <c r="F179" s="210">
        <v>-13.67</v>
      </c>
      <c r="H179" t="s">
        <v>376</v>
      </c>
    </row>
    <row r="180" spans="2:8" ht="15.6" x14ac:dyDescent="0.3">
      <c r="B180" s="387">
        <v>45353</v>
      </c>
      <c r="C180" s="170" t="s">
        <v>722</v>
      </c>
      <c r="D180" s="170"/>
      <c r="E180" s="165"/>
      <c r="F180" s="210">
        <v>-14.09</v>
      </c>
      <c r="H180" t="s">
        <v>376</v>
      </c>
    </row>
    <row r="181" spans="2:8" ht="15.6" x14ac:dyDescent="0.3">
      <c r="B181" s="387">
        <v>45386</v>
      </c>
      <c r="C181" s="170" t="s">
        <v>722</v>
      </c>
      <c r="D181" s="170"/>
      <c r="E181" s="165"/>
      <c r="F181" s="210">
        <v>-13.91</v>
      </c>
      <c r="H181" t="s">
        <v>376</v>
      </c>
    </row>
    <row r="182" spans="2:8" ht="15.6" x14ac:dyDescent="0.3">
      <c r="B182" s="387">
        <v>45415</v>
      </c>
      <c r="C182" s="170" t="s">
        <v>722</v>
      </c>
      <c r="D182" s="170"/>
      <c r="E182" s="165"/>
      <c r="F182" s="210">
        <v>-13.91</v>
      </c>
      <c r="H182" t="s">
        <v>376</v>
      </c>
    </row>
    <row r="183" spans="2:8" ht="15.6" x14ac:dyDescent="0.3">
      <c r="B183" s="387">
        <v>45447</v>
      </c>
      <c r="C183" s="170" t="s">
        <v>722</v>
      </c>
      <c r="D183" s="170"/>
      <c r="E183" s="165"/>
      <c r="F183" s="210">
        <v>-13.67</v>
      </c>
      <c r="H183" t="s">
        <v>376</v>
      </c>
    </row>
    <row r="184" spans="2:8" ht="15.6" x14ac:dyDescent="0.3">
      <c r="B184" s="387">
        <v>45475</v>
      </c>
      <c r="C184" s="170" t="s">
        <v>722</v>
      </c>
      <c r="D184" s="170"/>
      <c r="E184" s="165"/>
      <c r="F184" s="210">
        <v>-13.67</v>
      </c>
      <c r="H184" t="s">
        <v>376</v>
      </c>
    </row>
    <row r="185" spans="2:8" ht="15.6" x14ac:dyDescent="0.3">
      <c r="B185" s="387">
        <v>45506</v>
      </c>
      <c r="C185" s="170" t="s">
        <v>722</v>
      </c>
      <c r="D185" s="170"/>
      <c r="E185" s="165"/>
      <c r="F185" s="210">
        <v>-13.67</v>
      </c>
      <c r="H185" t="s">
        <v>376</v>
      </c>
    </row>
    <row r="186" spans="2:8" ht="15.6" x14ac:dyDescent="0.3">
      <c r="B186" s="387">
        <v>45538</v>
      </c>
      <c r="C186" s="170" t="s">
        <v>722</v>
      </c>
      <c r="D186" s="170"/>
      <c r="E186" s="165"/>
      <c r="F186" s="210">
        <v>-14.09</v>
      </c>
      <c r="H186" t="s">
        <v>376</v>
      </c>
    </row>
    <row r="187" spans="2:8" ht="15.6" x14ac:dyDescent="0.3">
      <c r="B187" s="387">
        <v>45567</v>
      </c>
      <c r="C187" s="170" t="s">
        <v>722</v>
      </c>
      <c r="D187" s="170"/>
      <c r="E187" s="165"/>
      <c r="F187" s="210">
        <v>-13.67</v>
      </c>
      <c r="H187" t="s">
        <v>376</v>
      </c>
    </row>
    <row r="188" spans="2:8" ht="15.6" x14ac:dyDescent="0.3">
      <c r="B188" s="387">
        <v>45598</v>
      </c>
      <c r="C188" s="170" t="s">
        <v>722</v>
      </c>
      <c r="D188" s="170"/>
      <c r="E188" s="165"/>
      <c r="F188" s="210">
        <v>-13.67</v>
      </c>
      <c r="H188" t="s">
        <v>376</v>
      </c>
    </row>
    <row r="189" spans="2:8" ht="15.6" x14ac:dyDescent="0.3">
      <c r="B189" s="387">
        <v>45629</v>
      </c>
      <c r="C189" s="170" t="s">
        <v>722</v>
      </c>
      <c r="D189" s="170"/>
      <c r="E189" s="165"/>
      <c r="F189" s="210">
        <v>-13.91</v>
      </c>
    </row>
    <row r="190" spans="2:8" ht="15.6" x14ac:dyDescent="0.3">
      <c r="B190" s="387"/>
      <c r="C190" s="170"/>
      <c r="D190" s="170"/>
      <c r="E190" s="165"/>
      <c r="F190" s="210"/>
    </row>
    <row r="191" spans="2:8" ht="15.6" x14ac:dyDescent="0.3">
      <c r="B191" s="671"/>
      <c r="C191" s="664" t="s">
        <v>718</v>
      </c>
      <c r="D191" s="664"/>
      <c r="E191" s="664"/>
      <c r="F191" s="672">
        <f>SUM(F178:F190)</f>
        <v>-166.32</v>
      </c>
    </row>
    <row r="192" spans="2:8" ht="15.6" x14ac:dyDescent="0.3">
      <c r="B192" s="387"/>
      <c r="C192" s="170" t="s">
        <v>720</v>
      </c>
      <c r="D192" s="170"/>
      <c r="E192" s="165"/>
      <c r="F192" s="210"/>
    </row>
    <row r="193" spans="2:6" ht="15.6" x14ac:dyDescent="0.3">
      <c r="B193" s="387"/>
      <c r="C193" s="170"/>
      <c r="D193" s="170"/>
      <c r="E193" s="165"/>
      <c r="F193" s="210"/>
    </row>
    <row r="194" spans="2:6" ht="15.6" x14ac:dyDescent="0.3">
      <c r="B194" s="387"/>
      <c r="C194" s="170"/>
      <c r="D194" s="170"/>
      <c r="E194" s="165"/>
      <c r="F194" s="210"/>
    </row>
    <row r="195" spans="2:6" ht="16.2" thickBot="1" x14ac:dyDescent="0.35">
      <c r="B195" s="795"/>
      <c r="C195" s="665" t="s">
        <v>721</v>
      </c>
      <c r="D195" s="665"/>
      <c r="E195" s="665"/>
      <c r="F195" s="672">
        <f>SUM(F193:F194)</f>
        <v>0</v>
      </c>
    </row>
    <row r="196" spans="2:6" ht="16.2" thickBot="1" x14ac:dyDescent="0.35">
      <c r="B196" s="667">
        <f>B2</f>
        <v>45657</v>
      </c>
      <c r="C196" s="668" t="s">
        <v>2</v>
      </c>
      <c r="D196" s="668"/>
      <c r="E196" s="669"/>
      <c r="F196" s="670">
        <f>F176+F191++F195</f>
        <v>441.41</v>
      </c>
    </row>
  </sheetData>
  <phoneticPr fontId="2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4D567-9B0B-426E-8256-9F656A1C7419}">
  <dimension ref="A1:M49"/>
  <sheetViews>
    <sheetView topLeftCell="A20" workbookViewId="0">
      <selection activeCell="G45" sqref="G45"/>
    </sheetView>
  </sheetViews>
  <sheetFormatPr defaultRowHeight="13.2" x14ac:dyDescent="0.25"/>
  <cols>
    <col min="1" max="1" width="33.44140625" customWidth="1"/>
    <col min="2" max="2" width="6.33203125" customWidth="1"/>
    <col min="3" max="4" width="20" customWidth="1"/>
    <col min="5" max="5" width="6.5546875" customWidth="1"/>
    <col min="6" max="6" width="35" customWidth="1"/>
    <col min="7" max="7" width="7.88671875" customWidth="1"/>
    <col min="8" max="8" width="16" customWidth="1"/>
    <col min="9" max="9" width="17" customWidth="1"/>
    <col min="11" max="11" width="11.77734375" bestFit="1" customWidth="1"/>
    <col min="12" max="12" width="12.5546875" customWidth="1"/>
    <col min="13" max="13" width="13.88671875" customWidth="1"/>
  </cols>
  <sheetData>
    <row r="1" spans="1:11" ht="18" thickBot="1" x14ac:dyDescent="0.35">
      <c r="A1" s="257" t="s">
        <v>168</v>
      </c>
      <c r="B1" s="258"/>
      <c r="C1" s="258"/>
      <c r="D1" s="258"/>
      <c r="E1" s="259"/>
      <c r="F1" s="260"/>
      <c r="G1" s="260"/>
      <c r="H1" s="260"/>
      <c r="I1" s="718"/>
    </row>
    <row r="2" spans="1:11" ht="21.6" thickBot="1" x14ac:dyDescent="0.45">
      <c r="A2" s="811" t="s">
        <v>699</v>
      </c>
      <c r="B2" s="31"/>
      <c r="C2" s="590" t="s">
        <v>710</v>
      </c>
      <c r="D2" s="590"/>
      <c r="E2" s="620"/>
      <c r="F2" s="812"/>
      <c r="G2" s="812"/>
      <c r="H2" s="812"/>
      <c r="I2" s="813"/>
    </row>
    <row r="3" spans="1:11" ht="15" x14ac:dyDescent="0.25">
      <c r="A3" s="269"/>
      <c r="B3" s="270"/>
      <c r="C3" s="270"/>
      <c r="D3" s="270"/>
      <c r="E3" s="271"/>
      <c r="F3" s="272"/>
      <c r="G3" s="272"/>
      <c r="H3" s="272"/>
      <c r="I3" s="453"/>
    </row>
    <row r="4" spans="1:11" ht="15.6" x14ac:dyDescent="0.3">
      <c r="A4" s="838" t="s">
        <v>700</v>
      </c>
      <c r="B4" s="839"/>
      <c r="C4" s="839"/>
      <c r="D4" s="839"/>
      <c r="E4" s="839"/>
      <c r="F4" s="839"/>
      <c r="G4" s="839"/>
      <c r="H4" s="839"/>
      <c r="I4" s="840"/>
    </row>
    <row r="5" spans="1:11" ht="15" x14ac:dyDescent="0.25">
      <c r="A5" s="279" t="s">
        <v>173</v>
      </c>
      <c r="B5" s="6"/>
      <c r="C5" s="6"/>
      <c r="D5" s="6"/>
      <c r="E5" s="4"/>
      <c r="F5" s="219" t="s">
        <v>174</v>
      </c>
      <c r="G5" s="219"/>
      <c r="H5" s="219"/>
      <c r="I5" s="454"/>
    </row>
    <row r="6" spans="1:11" ht="15" x14ac:dyDescent="0.25">
      <c r="A6" s="192"/>
      <c r="B6" s="7"/>
      <c r="C6" s="106">
        <v>45291</v>
      </c>
      <c r="D6" s="284">
        <v>44926</v>
      </c>
      <c r="E6" s="4"/>
      <c r="F6" s="285"/>
      <c r="G6" s="285"/>
      <c r="H6" s="220">
        <v>45291</v>
      </c>
      <c r="I6" s="286">
        <v>44926</v>
      </c>
    </row>
    <row r="7" spans="1:11" ht="15" x14ac:dyDescent="0.25">
      <c r="A7" s="192"/>
      <c r="B7" s="7"/>
      <c r="D7" s="7"/>
      <c r="E7" s="4"/>
      <c r="F7" s="285"/>
      <c r="G7" s="285"/>
      <c r="I7" s="51"/>
    </row>
    <row r="8" spans="1:11" ht="15" x14ac:dyDescent="0.25">
      <c r="A8" s="192" t="s">
        <v>522</v>
      </c>
      <c r="B8" s="7"/>
      <c r="C8" s="116">
        <f>'31 dec 2020'!C13</f>
        <v>0</v>
      </c>
      <c r="D8" s="193">
        <v>0</v>
      </c>
      <c r="E8" s="4"/>
      <c r="F8" s="343" t="s">
        <v>566</v>
      </c>
      <c r="G8" s="343"/>
      <c r="H8" s="343">
        <f>-SUM(H10:H18)+H20</f>
        <v>607.73000000001048</v>
      </c>
      <c r="I8" s="456">
        <f>-SUM(I10:I18)+I20</f>
        <v>820.46000000001004</v>
      </c>
      <c r="K8" s="242"/>
    </row>
    <row r="9" spans="1:11" ht="15" x14ac:dyDescent="0.25">
      <c r="A9" s="192" t="s">
        <v>293</v>
      </c>
      <c r="B9" s="7"/>
      <c r="C9" s="116">
        <f>'31 dec 2023'!A12</f>
        <v>10474.350000000008</v>
      </c>
      <c r="D9" s="193">
        <f>Blad4!C9</f>
        <v>6814.7800000000088</v>
      </c>
      <c r="E9" s="4"/>
      <c r="F9" s="221"/>
      <c r="G9" s="221"/>
      <c r="I9" s="51"/>
    </row>
    <row r="10" spans="1:11" ht="15" x14ac:dyDescent="0.25">
      <c r="A10" s="365"/>
      <c r="C10" s="116"/>
      <c r="D10" s="193"/>
      <c r="E10" s="4"/>
      <c r="F10" s="221"/>
      <c r="G10" s="348"/>
      <c r="H10" s="773"/>
      <c r="I10" s="814"/>
    </row>
    <row r="11" spans="1:11" ht="15" x14ac:dyDescent="0.25">
      <c r="A11" s="23"/>
      <c r="C11" s="116"/>
      <c r="D11" s="193"/>
      <c r="E11" s="4"/>
      <c r="F11" s="221" t="str">
        <f>'31 dec 2019'!E19</f>
        <v>*Reservering diversen</v>
      </c>
      <c r="G11" s="348">
        <f>'31 dec 2019'!F19</f>
        <v>4</v>
      </c>
      <c r="H11" s="116">
        <f>'proj 2023'!F64</f>
        <v>0</v>
      </c>
      <c r="I11" s="194">
        <f>'proj 2023'!F43</f>
        <v>-38.710000000000036</v>
      </c>
    </row>
    <row r="12" spans="1:11" ht="15" x14ac:dyDescent="0.25">
      <c r="A12" s="192" t="s">
        <v>73</v>
      </c>
      <c r="B12" s="7"/>
      <c r="C12" s="116">
        <f>'31 dec 2023'!A17</f>
        <v>10223.750000000004</v>
      </c>
      <c r="D12" s="193">
        <f>'proj 2023'!F95</f>
        <v>10864.530000000002</v>
      </c>
      <c r="E12" s="4"/>
      <c r="F12" s="221"/>
      <c r="G12" s="348"/>
      <c r="H12" s="422"/>
      <c r="I12" s="815"/>
    </row>
    <row r="13" spans="1:11" ht="15" x14ac:dyDescent="0.25">
      <c r="A13" s="365"/>
      <c r="B13" s="116"/>
      <c r="C13" s="193"/>
      <c r="E13" s="4"/>
      <c r="F13" s="221" t="str">
        <f>'31 dec 2019'!E22</f>
        <v>*Te besteden 50 dingen boekje</v>
      </c>
      <c r="G13" s="348">
        <f>'31 dec 2019'!F22</f>
        <v>7</v>
      </c>
      <c r="H13" s="193">
        <f>'proj 2023'!F108</f>
        <v>10223.750000000004</v>
      </c>
      <c r="I13" s="231">
        <f>'proj 2023'!F95</f>
        <v>10864.530000000002</v>
      </c>
    </row>
    <row r="14" spans="1:11" ht="15" x14ac:dyDescent="0.25">
      <c r="A14" s="23"/>
      <c r="E14" s="4"/>
      <c r="F14" s="221" t="str">
        <f>'31 dec 2019'!E23</f>
        <v>*Basisonderwijs/st. Ronde Venen fonds</v>
      </c>
      <c r="G14" s="348">
        <f>'31 dec 2019'!F23</f>
        <v>8</v>
      </c>
      <c r="H14" s="193">
        <f>'31 dec 2023'!H16</f>
        <v>969.70999999999913</v>
      </c>
      <c r="I14" s="231">
        <f>'proj 2023'!F136</f>
        <v>3183.15</v>
      </c>
    </row>
    <row r="15" spans="1:11" ht="15" x14ac:dyDescent="0.25">
      <c r="A15" s="192"/>
      <c r="B15" s="7"/>
      <c r="C15" s="7"/>
      <c r="E15" s="4"/>
      <c r="F15" s="221"/>
      <c r="G15" s="348"/>
      <c r="H15" s="193"/>
      <c r="I15" s="231"/>
    </row>
    <row r="16" spans="1:11" ht="15" x14ac:dyDescent="0.25">
      <c r="A16" s="192"/>
      <c r="B16" s="7"/>
      <c r="C16" s="7"/>
      <c r="E16" s="4"/>
      <c r="F16" s="221"/>
      <c r="G16" s="348"/>
      <c r="H16" s="116"/>
      <c r="I16" s="194"/>
    </row>
    <row r="17" spans="1:13" ht="15" x14ac:dyDescent="0.25">
      <c r="A17" s="192"/>
      <c r="B17" s="7"/>
      <c r="C17" s="7"/>
      <c r="E17" s="4"/>
      <c r="F17" s="221" t="str">
        <f>'31 dec 2019'!E27</f>
        <v>*Ontwikkeling NME (1)</v>
      </c>
      <c r="G17" s="348">
        <f>'31 dec 2019'!F27</f>
        <v>12</v>
      </c>
      <c r="H17" s="116">
        <f>'31 dec 2023'!H18</f>
        <v>589.88000000000011</v>
      </c>
      <c r="I17" s="194">
        <f>'proj 2023'!F173</f>
        <v>2849.88</v>
      </c>
    </row>
    <row r="18" spans="1:13" ht="15" x14ac:dyDescent="0.25">
      <c r="A18" s="192"/>
      <c r="B18" s="7"/>
      <c r="C18" s="7"/>
      <c r="E18" s="4"/>
      <c r="F18" s="221" t="str">
        <f>'proj 2023'!B231</f>
        <v>Klimaat adaptieve tuin</v>
      </c>
      <c r="G18" s="348">
        <v>14</v>
      </c>
      <c r="H18" s="116">
        <f>'proj 2023'!F252</f>
        <v>8307.0299999999988</v>
      </c>
      <c r="I18" s="194">
        <f>'proj 2023'!F232</f>
        <v>0</v>
      </c>
    </row>
    <row r="19" spans="1:13" ht="15.6" thickBot="1" x14ac:dyDescent="0.3">
      <c r="A19" s="309"/>
      <c r="B19" s="310"/>
      <c r="C19" s="310"/>
      <c r="D19" s="215"/>
      <c r="E19" s="311"/>
      <c r="F19" s="319"/>
      <c r="G19" s="767"/>
      <c r="H19" s="195"/>
      <c r="I19" s="196"/>
    </row>
    <row r="20" spans="1:13" ht="15" x14ac:dyDescent="0.25">
      <c r="A20" s="406" t="s">
        <v>205</v>
      </c>
      <c r="B20" s="193"/>
      <c r="C20" s="193">
        <f>SUM(C8:C14)</f>
        <v>20698.100000000013</v>
      </c>
      <c r="D20" s="193">
        <f>SUM(D8:D13)</f>
        <v>17679.310000000012</v>
      </c>
      <c r="E20" s="4"/>
      <c r="F20" s="7"/>
      <c r="G20" s="7"/>
      <c r="H20" s="193">
        <f>C20</f>
        <v>20698.100000000013</v>
      </c>
      <c r="I20" s="231">
        <f>D20</f>
        <v>17679.310000000012</v>
      </c>
      <c r="K20" s="116"/>
    </row>
    <row r="21" spans="1:13" ht="15" x14ac:dyDescent="0.25">
      <c r="A21" s="192"/>
      <c r="B21" s="7"/>
      <c r="C21" s="7"/>
      <c r="D21" s="7"/>
      <c r="E21" s="4"/>
      <c r="F21" s="193"/>
      <c r="G21" s="7"/>
      <c r="H21" s="7"/>
      <c r="I21" s="191"/>
    </row>
    <row r="22" spans="1:13" ht="15.6" thickBot="1" x14ac:dyDescent="0.3">
      <c r="A22" s="309" t="s">
        <v>412</v>
      </c>
      <c r="B22" s="215"/>
      <c r="C22" s="215"/>
      <c r="D22" s="195"/>
      <c r="E22" s="311"/>
      <c r="F22" s="310"/>
      <c r="G22" s="310"/>
      <c r="H22" s="319"/>
      <c r="I22" s="579"/>
    </row>
    <row r="23" spans="1:13" ht="15.6" x14ac:dyDescent="0.3">
      <c r="A23" s="838"/>
      <c r="B23" s="839"/>
      <c r="C23" s="839"/>
      <c r="D23" s="839"/>
      <c r="E23" s="839"/>
      <c r="F23" s="839"/>
      <c r="G23" s="839"/>
      <c r="H23" s="839"/>
      <c r="I23" s="839"/>
    </row>
    <row r="24" spans="1:13" ht="13.8" x14ac:dyDescent="0.25">
      <c r="A24" s="321"/>
      <c r="B24" s="322"/>
      <c r="C24" s="322"/>
      <c r="D24" s="799">
        <f>C20-D20</f>
        <v>3018.7900000000009</v>
      </c>
      <c r="E24" s="324"/>
      <c r="F24" s="219"/>
      <c r="G24" s="219"/>
      <c r="H24" s="219"/>
      <c r="I24" s="219"/>
    </row>
    <row r="25" spans="1:13" x14ac:dyDescent="0.25">
      <c r="H25" s="116"/>
    </row>
    <row r="26" spans="1:13" ht="13.8" thickBot="1" x14ac:dyDescent="0.3"/>
    <row r="27" spans="1:13" ht="15.6" x14ac:dyDescent="0.3">
      <c r="A27" s="841" t="s">
        <v>702</v>
      </c>
      <c r="B27" s="842"/>
      <c r="C27" s="842"/>
      <c r="D27" s="842"/>
      <c r="E27" s="842"/>
      <c r="F27" s="842"/>
      <c r="G27" s="842"/>
      <c r="H27" s="842"/>
      <c r="I27" s="843"/>
    </row>
    <row r="28" spans="1:13" ht="13.8" x14ac:dyDescent="0.25">
      <c r="A28" s="321" t="s">
        <v>175</v>
      </c>
      <c r="B28" s="322"/>
      <c r="C28" s="322" t="str">
        <f>A28</f>
        <v>Inkomsten</v>
      </c>
      <c r="D28" s="322"/>
      <c r="E28" s="324"/>
      <c r="F28" s="219" t="s">
        <v>176</v>
      </c>
      <c r="G28" s="219"/>
      <c r="H28" s="219" t="str">
        <f>F28</f>
        <v>Uitgaven</v>
      </c>
      <c r="I28" s="454"/>
    </row>
    <row r="29" spans="1:13" x14ac:dyDescent="0.25">
      <c r="A29" s="23"/>
      <c r="C29">
        <v>2023</v>
      </c>
      <c r="D29">
        <v>2022</v>
      </c>
      <c r="E29" s="224"/>
      <c r="H29">
        <v>2023</v>
      </c>
      <c r="I29" s="51">
        <v>2022</v>
      </c>
    </row>
    <row r="30" spans="1:13" ht="13.8" x14ac:dyDescent="0.25">
      <c r="A30" s="42"/>
      <c r="B30" s="1"/>
      <c r="F30" s="7"/>
      <c r="G30" s="1"/>
      <c r="H30" s="116"/>
      <c r="I30" s="194"/>
    </row>
    <row r="31" spans="1:13" x14ac:dyDescent="0.25">
      <c r="A31" s="192" t="s">
        <v>67</v>
      </c>
      <c r="B31" s="7" t="s">
        <v>112</v>
      </c>
      <c r="C31" s="116">
        <v>0</v>
      </c>
      <c r="D31" s="116">
        <v>0</v>
      </c>
      <c r="E31" s="7"/>
      <c r="F31" s="7" t="s">
        <v>211</v>
      </c>
      <c r="G31" s="7" t="s">
        <v>112</v>
      </c>
      <c r="H31" s="116">
        <f>'proj 2023'!F58</f>
        <v>-174.01999999999998</v>
      </c>
      <c r="I31" s="194">
        <v>-119.41000000000001</v>
      </c>
      <c r="K31" s="116"/>
      <c r="L31" s="116"/>
      <c r="M31" s="116"/>
    </row>
    <row r="32" spans="1:13" x14ac:dyDescent="0.25">
      <c r="A32" s="192"/>
      <c r="B32" s="7"/>
      <c r="D32" s="116"/>
      <c r="E32" s="7"/>
      <c r="F32" s="7" t="str">
        <f>'project 2020'!B41</f>
        <v>Herinrichting Ruimte</v>
      </c>
      <c r="G32" s="7" t="s">
        <v>585</v>
      </c>
      <c r="H32" s="116"/>
      <c r="I32" s="194"/>
      <c r="K32" s="116"/>
      <c r="L32" s="116"/>
      <c r="M32" s="116"/>
    </row>
    <row r="33" spans="1:13" x14ac:dyDescent="0.25">
      <c r="A33" s="25" t="s">
        <v>83</v>
      </c>
      <c r="B33" t="s">
        <v>115</v>
      </c>
      <c r="C33" s="193">
        <f>'31 dec 2023'!J14</f>
        <v>3.37</v>
      </c>
      <c r="D33" s="116">
        <v>1.28</v>
      </c>
      <c r="E33" s="7"/>
      <c r="F33" s="7" t="s">
        <v>83</v>
      </c>
      <c r="G33" t="s">
        <v>115</v>
      </c>
      <c r="H33" s="116">
        <f>'proj 2023'!F102</f>
        <v>-644.15</v>
      </c>
      <c r="I33" s="194">
        <v>-1258.3999999999999</v>
      </c>
      <c r="K33" s="116"/>
      <c r="L33" s="116"/>
      <c r="M33" s="116"/>
    </row>
    <row r="34" spans="1:13" x14ac:dyDescent="0.25">
      <c r="A34" s="192" t="s">
        <v>88</v>
      </c>
      <c r="B34" t="s">
        <v>116</v>
      </c>
      <c r="C34" s="193">
        <f>'31 dec 2023'!J16</f>
        <v>4376</v>
      </c>
      <c r="D34" s="116">
        <v>187.07</v>
      </c>
      <c r="E34" s="7"/>
      <c r="F34" s="284" t="s">
        <v>153</v>
      </c>
      <c r="G34" t="s">
        <v>116</v>
      </c>
      <c r="H34" s="116">
        <f>'proj 2023'!F143</f>
        <v>-6589.4400000000005</v>
      </c>
      <c r="I34" s="194">
        <v>-5507.76</v>
      </c>
      <c r="K34" s="116"/>
      <c r="L34" s="116"/>
      <c r="M34" s="116"/>
    </row>
    <row r="35" spans="1:13" x14ac:dyDescent="0.25">
      <c r="A35" s="192"/>
      <c r="C35" s="116"/>
      <c r="D35" s="116"/>
      <c r="E35" s="7"/>
      <c r="F35" s="284"/>
      <c r="H35" s="106"/>
      <c r="I35" s="816"/>
      <c r="K35" s="116"/>
      <c r="L35" s="116"/>
      <c r="M35" s="116"/>
    </row>
    <row r="36" spans="1:13" x14ac:dyDescent="0.25">
      <c r="A36" s="344" t="s">
        <v>226</v>
      </c>
      <c r="B36" t="s">
        <v>141</v>
      </c>
      <c r="C36" s="193">
        <f>'31 dec 2023'!J18</f>
        <v>14</v>
      </c>
      <c r="D36" s="116">
        <v>2474</v>
      </c>
      <c r="E36" s="7"/>
      <c r="F36" s="7" t="s">
        <v>226</v>
      </c>
      <c r="G36" s="7" t="s">
        <v>141</v>
      </c>
      <c r="H36" s="116">
        <f>'proj 2023'!F177</f>
        <v>-2274</v>
      </c>
      <c r="I36" s="194">
        <f>'proj 2023'!F167</f>
        <v>0</v>
      </c>
      <c r="K36" s="116"/>
      <c r="L36" s="116"/>
      <c r="M36" s="116"/>
    </row>
    <row r="37" spans="1:13" x14ac:dyDescent="0.25">
      <c r="A37" s="344" t="s">
        <v>518</v>
      </c>
      <c r="B37" s="7" t="s">
        <v>520</v>
      </c>
      <c r="C37" s="116">
        <v>0</v>
      </c>
      <c r="D37" s="116">
        <v>19.45</v>
      </c>
      <c r="E37" s="221"/>
      <c r="F37" t="str">
        <f>'31 dec 2019'!E28</f>
        <v>Izettle</v>
      </c>
      <c r="G37" s="7" t="s">
        <v>520</v>
      </c>
      <c r="H37" s="116">
        <f>'proj 2023'!F227</f>
        <v>0</v>
      </c>
      <c r="I37" s="194">
        <f>'proj 2023'!F222</f>
        <v>-43.93</v>
      </c>
      <c r="K37" s="116"/>
      <c r="L37" s="116"/>
      <c r="M37" s="116"/>
    </row>
    <row r="38" spans="1:13" x14ac:dyDescent="0.25">
      <c r="A38" s="768" t="s">
        <v>691</v>
      </c>
      <c r="B38" s="641" t="str">
        <f>'31 dec 2023'!F20</f>
        <v>nr 14</v>
      </c>
      <c r="C38" s="116">
        <f>'31 dec 2023'!J20</f>
        <v>15077.49</v>
      </c>
      <c r="D38" s="641"/>
      <c r="E38" s="298"/>
      <c r="F38" s="295" t="str">
        <f>'proj 2023'!B231</f>
        <v>Klimaat adaptieve tuin</v>
      </c>
      <c r="G38" s="295" t="s">
        <v>692</v>
      </c>
      <c r="H38" s="819">
        <f>'proj 2023'!F239</f>
        <v>-6770.46</v>
      </c>
      <c r="I38" s="818"/>
      <c r="K38" s="116"/>
      <c r="L38" s="116"/>
      <c r="M38" s="116"/>
    </row>
    <row r="39" spans="1:13" ht="15.6" x14ac:dyDescent="0.3">
      <c r="A39" s="769" t="s">
        <v>219</v>
      </c>
      <c r="B39" s="646"/>
      <c r="C39" s="647">
        <f>SUM(C31:C38)</f>
        <v>19470.86</v>
      </c>
      <c r="D39" s="647">
        <f>SUM(D31:D38)</f>
        <v>2681.7999999999997</v>
      </c>
      <c r="E39" s="648"/>
      <c r="F39" s="646" t="s">
        <v>218</v>
      </c>
      <c r="G39" s="646"/>
      <c r="H39" s="649">
        <f>SUM(H30:H38)</f>
        <v>-16452.07</v>
      </c>
      <c r="I39" s="817">
        <v>-6929.5</v>
      </c>
    </row>
    <row r="40" spans="1:13" ht="15.6" x14ac:dyDescent="0.3">
      <c r="A40" s="23"/>
      <c r="E40" s="221"/>
      <c r="F40" s="346" t="s">
        <v>703</v>
      </c>
      <c r="G40" s="346"/>
      <c r="H40" s="347">
        <f>C39+H39</f>
        <v>3018.7900000000009</v>
      </c>
      <c r="I40" s="582"/>
      <c r="K40" s="116"/>
      <c r="L40" s="116"/>
      <c r="M40" s="116"/>
    </row>
    <row r="41" spans="1:13" ht="13.8" x14ac:dyDescent="0.25">
      <c r="A41" s="192"/>
      <c r="C41" s="116"/>
      <c r="E41" s="221"/>
      <c r="F41" s="1" t="s">
        <v>661</v>
      </c>
      <c r="G41" s="1"/>
      <c r="H41" s="629"/>
      <c r="I41" s="771">
        <f>D39+I39</f>
        <v>-4247.7000000000007</v>
      </c>
    </row>
    <row r="42" spans="1:13" x14ac:dyDescent="0.25">
      <c r="A42" s="768"/>
      <c r="B42" s="641"/>
      <c r="C42" s="641"/>
      <c r="D42" s="296"/>
      <c r="E42" s="298"/>
      <c r="F42" s="641"/>
      <c r="G42" s="641"/>
      <c r="H42" s="641"/>
      <c r="I42" s="772"/>
    </row>
    <row r="43" spans="1:13" ht="13.8" x14ac:dyDescent="0.25">
      <c r="A43" s="42"/>
      <c r="B43" s="1"/>
      <c r="C43" s="1"/>
      <c r="D43" s="1"/>
      <c r="E43" s="324"/>
      <c r="H43" s="116"/>
      <c r="I43" s="194"/>
    </row>
    <row r="44" spans="1:13" ht="15" x14ac:dyDescent="0.25">
      <c r="A44" s="844" t="s">
        <v>200</v>
      </c>
      <c r="B44" s="845"/>
      <c r="C44" s="845"/>
      <c r="D44" s="845"/>
      <c r="E44" s="845"/>
      <c r="F44" s="845"/>
      <c r="G44" s="845"/>
      <c r="H44" s="845"/>
      <c r="I44" s="846"/>
    </row>
    <row r="45" spans="1:13" ht="13.8" x14ac:dyDescent="0.25">
      <c r="A45" s="337"/>
      <c r="B45" s="338"/>
      <c r="C45" s="338"/>
      <c r="D45" s="338"/>
      <c r="E45" s="324"/>
      <c r="I45" s="51"/>
    </row>
    <row r="46" spans="1:13" x14ac:dyDescent="0.25">
      <c r="A46" s="847" t="s">
        <v>201</v>
      </c>
      <c r="B46" s="848"/>
      <c r="C46" s="848"/>
      <c r="D46" s="848"/>
      <c r="E46" s="848"/>
      <c r="F46" s="848"/>
      <c r="G46" s="848"/>
      <c r="H46" s="848"/>
      <c r="I46" s="849"/>
    </row>
    <row r="47" spans="1:13" ht="14.4" thickBot="1" x14ac:dyDescent="0.3">
      <c r="A47" s="339"/>
      <c r="B47" s="340"/>
      <c r="C47" s="340"/>
      <c r="D47" s="340"/>
      <c r="E47" s="342"/>
      <c r="F47" s="215"/>
      <c r="G47" s="215"/>
      <c r="H47" s="215"/>
      <c r="I47" s="216"/>
    </row>
    <row r="49" spans="8:8" x14ac:dyDescent="0.25">
      <c r="H49" s="116">
        <f>H40-D24</f>
        <v>0</v>
      </c>
    </row>
  </sheetData>
  <mergeCells count="5">
    <mergeCell ref="A4:I4"/>
    <mergeCell ref="A23:I23"/>
    <mergeCell ref="A27:I27"/>
    <mergeCell ref="A44:I44"/>
    <mergeCell ref="A46:I46"/>
  </mergeCells>
  <pageMargins left="0.7" right="0.7" top="0.75" bottom="0.75" header="0.3" footer="0.3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1"/>
  <sheetViews>
    <sheetView topLeftCell="A5" workbookViewId="0">
      <selection activeCell="B31" sqref="B31"/>
    </sheetView>
  </sheetViews>
  <sheetFormatPr defaultRowHeight="13.2" x14ac:dyDescent="0.25"/>
  <cols>
    <col min="1" max="1" width="13.6640625" customWidth="1"/>
    <col min="2" max="2" width="43.44140625" customWidth="1"/>
    <col min="3" max="3" width="14.6640625" customWidth="1"/>
    <col min="4" max="4" width="1.6640625" customWidth="1"/>
    <col min="5" max="5" width="35" customWidth="1"/>
    <col min="6" max="6" width="4.109375" customWidth="1"/>
    <col min="7" max="7" width="14.6640625" customWidth="1"/>
    <col min="8" max="8" width="15.44140625" customWidth="1"/>
    <col min="9" max="9" width="16.6640625" customWidth="1"/>
    <col min="10" max="10" width="14.5546875" customWidth="1"/>
    <col min="11" max="11" width="18.33203125" customWidth="1"/>
    <col min="12" max="13" width="26.88671875" customWidth="1"/>
    <col min="14" max="14" width="16.44140625" customWidth="1"/>
  </cols>
  <sheetData>
    <row r="1" spans="1:14" ht="30" x14ac:dyDescent="0.5">
      <c r="B1" s="222" t="s">
        <v>142</v>
      </c>
    </row>
    <row r="4" spans="1:14" ht="21" x14ac:dyDescent="0.4">
      <c r="B4" s="150" t="s">
        <v>158</v>
      </c>
      <c r="C4" s="250">
        <v>45291</v>
      </c>
    </row>
    <row r="5" spans="1:14" ht="16.2" thickBot="1" x14ac:dyDescent="0.35">
      <c r="E5" s="116"/>
      <c r="J5" s="825"/>
    </row>
    <row r="6" spans="1:14" ht="13.8" thickBot="1" x14ac:dyDescent="0.3">
      <c r="B6" s="422"/>
      <c r="C6" s="804"/>
    </row>
    <row r="7" spans="1:14" x14ac:dyDescent="0.25">
      <c r="A7" s="116">
        <f>C12-A12</f>
        <v>0</v>
      </c>
      <c r="B7" s="189"/>
      <c r="C7" s="804"/>
      <c r="D7" s="32"/>
      <c r="E7" s="189"/>
      <c r="F7" s="32"/>
      <c r="G7" s="32" t="s">
        <v>159</v>
      </c>
      <c r="H7" s="190" t="s">
        <v>159</v>
      </c>
      <c r="I7" s="233" t="s">
        <v>161</v>
      </c>
      <c r="J7" s="189" t="s">
        <v>161</v>
      </c>
      <c r="K7" s="781"/>
    </row>
    <row r="8" spans="1:14" x14ac:dyDescent="0.25">
      <c r="A8" s="116"/>
      <c r="B8" s="365"/>
      <c r="C8" s="51"/>
      <c r="E8" s="23"/>
      <c r="G8" s="247">
        <f>C4</f>
        <v>45291</v>
      </c>
      <c r="H8" s="240">
        <f>C4</f>
        <v>45291</v>
      </c>
      <c r="I8" s="689">
        <f>C4</f>
        <v>45291</v>
      </c>
      <c r="J8" s="246">
        <f>C4</f>
        <v>45291</v>
      </c>
      <c r="K8" s="782">
        <v>44926</v>
      </c>
      <c r="N8" s="367"/>
    </row>
    <row r="9" spans="1:14" ht="13.8" thickBot="1" x14ac:dyDescent="0.3">
      <c r="A9" s="116"/>
      <c r="B9" s="197" t="s">
        <v>162</v>
      </c>
      <c r="C9" s="51"/>
      <c r="E9" s="197" t="s">
        <v>99</v>
      </c>
      <c r="F9" s="7"/>
      <c r="G9" s="7" t="s">
        <v>102</v>
      </c>
      <c r="H9" s="683" t="s">
        <v>160</v>
      </c>
      <c r="I9" s="690" t="s">
        <v>101</v>
      </c>
      <c r="J9" s="774" t="s">
        <v>100</v>
      </c>
      <c r="K9" s="783" t="s">
        <v>84</v>
      </c>
      <c r="L9" s="7"/>
      <c r="M9" s="7"/>
      <c r="N9" s="7"/>
    </row>
    <row r="10" spans="1:14" x14ac:dyDescent="0.25">
      <c r="A10" s="528" t="s">
        <v>383</v>
      </c>
      <c r="B10" s="249">
        <f>C4</f>
        <v>45291</v>
      </c>
      <c r="C10" s="51"/>
      <c r="E10" s="246">
        <f>C4</f>
        <v>45291</v>
      </c>
      <c r="H10" s="51"/>
      <c r="I10" s="236"/>
      <c r="J10" s="23"/>
      <c r="K10" s="784"/>
      <c r="L10" s="7"/>
      <c r="M10" s="7"/>
    </row>
    <row r="11" spans="1:14" x14ac:dyDescent="0.25">
      <c r="A11" s="525">
        <f>'project 2020'!F11</f>
        <v>0</v>
      </c>
      <c r="B11" s="23" t="s">
        <v>264</v>
      </c>
      <c r="C11" s="623">
        <v>0</v>
      </c>
      <c r="E11" s="606"/>
      <c r="F11" s="348"/>
      <c r="G11" s="116"/>
      <c r="H11" s="194"/>
      <c r="I11" s="238"/>
      <c r="J11" s="365"/>
      <c r="K11" s="785"/>
      <c r="L11" s="193"/>
      <c r="M11" s="193"/>
      <c r="N11" s="116"/>
    </row>
    <row r="12" spans="1:14" x14ac:dyDescent="0.25">
      <c r="A12" s="526">
        <f>'proj 2023'!F64+'proj 2023'!F149+'proj 2023'!F182+'proj 2023'!F271+'proj 2023'!F252</f>
        <v>10474.350000000008</v>
      </c>
      <c r="B12" s="23" t="s">
        <v>266</v>
      </c>
      <c r="C12" s="623">
        <v>10474.35</v>
      </c>
      <c r="E12" s="711" t="str">
        <f>'proj 2021'!B10</f>
        <v>Reservering diversen bankkosten</v>
      </c>
      <c r="F12" s="712" t="str">
        <f>'proj 2021'!E10</f>
        <v>nr.4</v>
      </c>
      <c r="G12" s="517"/>
      <c r="H12" s="686">
        <f t="shared" ref="H12:H20" si="0">J12+K12+I12</f>
        <v>0</v>
      </c>
      <c r="I12" s="692">
        <f>'proj 2023'!F58</f>
        <v>-174.01999999999998</v>
      </c>
      <c r="J12" s="803">
        <f>'proj 2023'!F63</f>
        <v>212.73</v>
      </c>
      <c r="K12" s="787">
        <f>'proj 2023'!F43</f>
        <v>-38.710000000000036</v>
      </c>
      <c r="L12" s="193"/>
      <c r="M12" s="193"/>
      <c r="N12" s="116"/>
    </row>
    <row r="13" spans="1:14" ht="15.6" x14ac:dyDescent="0.3">
      <c r="A13" s="526"/>
      <c r="B13" s="617"/>
      <c r="C13" s="51"/>
      <c r="E13" s="521"/>
      <c r="F13" s="348"/>
      <c r="G13" s="116"/>
      <c r="H13" s="686"/>
      <c r="I13" s="692"/>
      <c r="J13" s="776"/>
      <c r="K13" s="787"/>
      <c r="L13" s="193"/>
      <c r="M13" s="193"/>
      <c r="N13" s="116"/>
    </row>
    <row r="14" spans="1:14" ht="15.6" x14ac:dyDescent="0.3">
      <c r="A14" s="525"/>
      <c r="B14" s="617"/>
      <c r="C14" s="194"/>
      <c r="E14" s="708" t="str">
        <f>'proj 2021'!B53</f>
        <v>50 dingen boekje</v>
      </c>
      <c r="F14" s="717" t="str">
        <f>'proj 2021'!E53</f>
        <v>nr.7</v>
      </c>
      <c r="G14" s="422"/>
      <c r="H14" s="686">
        <f t="shared" si="0"/>
        <v>10223.750000000004</v>
      </c>
      <c r="I14" s="709">
        <f>'proj 2023'!F102</f>
        <v>-644.15</v>
      </c>
      <c r="J14" s="777">
        <f>'proj 2023'!F107</f>
        <v>3.37</v>
      </c>
      <c r="K14" s="788">
        <f>'proj 2023'!F95</f>
        <v>10864.530000000002</v>
      </c>
      <c r="L14" s="193"/>
      <c r="M14" s="193"/>
      <c r="N14" s="422"/>
    </row>
    <row r="15" spans="1:14" x14ac:dyDescent="0.25">
      <c r="A15" s="525"/>
      <c r="B15" s="365"/>
      <c r="C15" s="51"/>
      <c r="E15" s="521"/>
      <c r="F15" s="348"/>
      <c r="G15" s="116"/>
      <c r="H15" s="707"/>
      <c r="I15" s="692"/>
      <c r="J15" s="778"/>
      <c r="K15" s="789"/>
      <c r="L15" s="193"/>
      <c r="M15" s="193"/>
      <c r="N15" s="193"/>
    </row>
    <row r="16" spans="1:14" x14ac:dyDescent="0.25">
      <c r="A16" s="525"/>
      <c r="B16" s="406"/>
      <c r="C16" s="194"/>
      <c r="E16" s="521" t="str">
        <f>'proj 2021'!B87</f>
        <v>Basis onderwijs</v>
      </c>
      <c r="F16" s="348" t="str">
        <f>'proj 2021'!E87</f>
        <v>nr.8</v>
      </c>
      <c r="G16" s="116"/>
      <c r="H16" s="707">
        <f t="shared" si="0"/>
        <v>969.70999999999913</v>
      </c>
      <c r="I16" s="692">
        <f>'proj 2023'!F143</f>
        <v>-6589.4400000000005</v>
      </c>
      <c r="J16" s="776">
        <f>'proj 2023'!F148</f>
        <v>4376</v>
      </c>
      <c r="K16" s="789">
        <f>'proj 2023'!F136</f>
        <v>3183.15</v>
      </c>
      <c r="L16" s="193"/>
      <c r="M16" s="193"/>
      <c r="N16" s="193"/>
    </row>
    <row r="17" spans="1:14" ht="13.8" thickBot="1" x14ac:dyDescent="0.3">
      <c r="A17" s="527">
        <f>'proj 2023'!F108</f>
        <v>10223.750000000004</v>
      </c>
      <c r="B17" s="610" t="s">
        <v>265</v>
      </c>
      <c r="C17" s="623">
        <v>10223.75</v>
      </c>
      <c r="E17" s="521"/>
      <c r="F17" s="348"/>
      <c r="G17" s="116"/>
      <c r="H17" s="707"/>
      <c r="I17" s="692"/>
      <c r="J17" s="778"/>
      <c r="K17" s="789"/>
      <c r="L17" s="193"/>
      <c r="M17" s="193"/>
      <c r="N17" s="193"/>
    </row>
    <row r="18" spans="1:14" ht="16.2" thickBot="1" x14ac:dyDescent="0.35">
      <c r="A18" s="527">
        <f>SUM(A11:A17)</f>
        <v>20698.100000000013</v>
      </c>
      <c r="B18" s="617"/>
      <c r="C18" s="194"/>
      <c r="E18" s="521" t="str">
        <f>'proj 2021'!B110</f>
        <v>Stimulering NME</v>
      </c>
      <c r="F18" t="str">
        <f>'proj 2021'!E110</f>
        <v>nr 12</v>
      </c>
      <c r="G18" s="116"/>
      <c r="H18" s="707">
        <f t="shared" si="0"/>
        <v>589.88000000000011</v>
      </c>
      <c r="I18" s="692">
        <f>'proj 2023'!F177</f>
        <v>-2274</v>
      </c>
      <c r="J18" s="778">
        <f>'proj 2023'!F181</f>
        <v>14</v>
      </c>
      <c r="K18" s="789">
        <f>'proj 2023'!F173</f>
        <v>2849.88</v>
      </c>
      <c r="L18" s="193"/>
      <c r="M18" s="193"/>
      <c r="N18" s="193"/>
    </row>
    <row r="19" spans="1:14" ht="15.6" x14ac:dyDescent="0.3">
      <c r="A19" s="422"/>
      <c r="B19" s="617">
        <f>A17-C17</f>
        <v>0</v>
      </c>
      <c r="C19" s="194"/>
      <c r="E19" s="521"/>
      <c r="F19" s="348"/>
      <c r="G19" s="116"/>
      <c r="H19" s="707"/>
      <c r="I19" s="693"/>
      <c r="J19" s="776"/>
      <c r="K19" s="787"/>
      <c r="L19" s="193"/>
      <c r="M19" s="193"/>
      <c r="N19" s="116"/>
    </row>
    <row r="20" spans="1:14" x14ac:dyDescent="0.25">
      <c r="A20" s="328"/>
      <c r="B20" s="365"/>
      <c r="C20" s="194"/>
      <c r="E20" s="521" t="str">
        <f>'proj 2023'!B231</f>
        <v>Klimaat adaptieve tuin</v>
      </c>
      <c r="F20" t="str">
        <f>'proj 2023'!E231</f>
        <v>nr 14</v>
      </c>
      <c r="H20" s="707">
        <f t="shared" si="0"/>
        <v>8307.0299999999988</v>
      </c>
      <c r="I20" s="691">
        <f>'proj 2023'!F239</f>
        <v>-6770.46</v>
      </c>
      <c r="J20" s="778">
        <f>'proj 2023'!F250</f>
        <v>15077.49</v>
      </c>
      <c r="K20" s="787">
        <f>'proj 2023'!F232</f>
        <v>0</v>
      </c>
      <c r="L20" s="193"/>
      <c r="M20" s="193"/>
      <c r="N20" s="116"/>
    </row>
    <row r="21" spans="1:14" x14ac:dyDescent="0.25">
      <c r="A21" s="422"/>
      <c r="B21" s="365"/>
      <c r="C21" s="194"/>
      <c r="E21" s="23"/>
      <c r="H21" s="684"/>
      <c r="I21" s="691"/>
      <c r="J21" s="779"/>
      <c r="K21" s="790"/>
      <c r="L21" s="193"/>
      <c r="M21" s="193"/>
    </row>
    <row r="22" spans="1:14" x14ac:dyDescent="0.25">
      <c r="A22" s="328"/>
      <c r="B22" s="365"/>
      <c r="C22" s="194"/>
      <c r="E22" s="23"/>
      <c r="H22" s="684"/>
      <c r="I22" s="691"/>
      <c r="J22" s="779"/>
      <c r="K22" s="790"/>
      <c r="L22" s="193"/>
      <c r="M22" s="193"/>
    </row>
    <row r="23" spans="1:14" x14ac:dyDescent="0.25">
      <c r="A23" s="422"/>
      <c r="B23" s="365"/>
      <c r="C23" s="194"/>
      <c r="E23" s="23"/>
      <c r="H23" s="684"/>
      <c r="I23" s="691"/>
      <c r="J23" s="779"/>
      <c r="K23" s="790"/>
      <c r="L23" s="116"/>
      <c r="M23" s="116"/>
    </row>
    <row r="24" spans="1:14" ht="13.8" thickBot="1" x14ac:dyDescent="0.3">
      <c r="A24" s="422"/>
      <c r="B24" s="520"/>
      <c r="C24" s="196"/>
      <c r="E24" s="523" t="s">
        <v>552</v>
      </c>
      <c r="F24" s="86" t="s">
        <v>243</v>
      </c>
      <c r="G24" s="524">
        <f>'proj 2023'!F271</f>
        <v>607.730000000009</v>
      </c>
      <c r="H24" s="687"/>
      <c r="I24" s="692"/>
      <c r="J24" s="776"/>
      <c r="K24" s="791">
        <f>'proj 2023'!F262</f>
        <v>820.46000000000902</v>
      </c>
      <c r="L24" s="193"/>
      <c r="M24" s="193"/>
      <c r="N24" s="116"/>
    </row>
    <row r="25" spans="1:14" ht="16.2" thickBot="1" x14ac:dyDescent="0.35">
      <c r="A25" s="527">
        <f>A18-C25</f>
        <v>0</v>
      </c>
      <c r="B25" s="185" t="s">
        <v>319</v>
      </c>
      <c r="C25" s="408">
        <f>SUM(C10:C24)</f>
        <v>20698.099999999999</v>
      </c>
      <c r="D25" s="187"/>
      <c r="E25" s="185" t="s">
        <v>79</v>
      </c>
      <c r="F25" s="187"/>
      <c r="G25" s="186">
        <f>C25-H25</f>
        <v>607.72999999999593</v>
      </c>
      <c r="H25" s="688">
        <f>SUM(H10:H24)</f>
        <v>20090.370000000003</v>
      </c>
      <c r="I25" s="694">
        <f>SUM(I11:I24)</f>
        <v>-16452.07</v>
      </c>
      <c r="J25" s="780">
        <f>SUM(J11:J24)</f>
        <v>19683.59</v>
      </c>
      <c r="K25" s="792">
        <f>SUM(K10:K24)</f>
        <v>17679.310000000012</v>
      </c>
      <c r="L25" s="116"/>
      <c r="M25" s="116"/>
      <c r="N25" s="202"/>
    </row>
    <row r="26" spans="1:14" ht="13.8" thickBot="1" x14ac:dyDescent="0.3">
      <c r="A26" s="116"/>
      <c r="B26" s="487"/>
      <c r="C26" s="488"/>
      <c r="E26" s="116"/>
      <c r="G26" s="193">
        <f>G25+H25</f>
        <v>20698.099999999999</v>
      </c>
      <c r="H26" s="116"/>
      <c r="I26" s="517"/>
      <c r="J26" s="517"/>
      <c r="K26" s="116"/>
      <c r="L26" s="116"/>
      <c r="M26" s="116"/>
    </row>
    <row r="27" spans="1:14" ht="15.6" x14ac:dyDescent="0.3">
      <c r="B27" s="426" t="s">
        <v>285</v>
      </c>
      <c r="C27" s="427">
        <f>H25</f>
        <v>20090.370000000003</v>
      </c>
      <c r="E27" s="116"/>
      <c r="F27" s="7"/>
      <c r="G27" s="202"/>
      <c r="H27" s="202"/>
      <c r="I27" s="422"/>
      <c r="J27" s="116"/>
      <c r="K27" s="753"/>
      <c r="L27" s="753"/>
      <c r="M27" s="753"/>
    </row>
    <row r="28" spans="1:14" ht="13.8" x14ac:dyDescent="0.25">
      <c r="A28" s="116"/>
      <c r="B28" s="428"/>
      <c r="C28" s="407"/>
      <c r="E28" s="116"/>
      <c r="G28" s="193"/>
      <c r="H28" s="193"/>
      <c r="I28" s="116"/>
      <c r="J28" s="116"/>
      <c r="K28" s="753"/>
      <c r="L28" s="116"/>
      <c r="M28" s="116"/>
    </row>
    <row r="29" spans="1:14" x14ac:dyDescent="0.25">
      <c r="A29" s="116"/>
      <c r="B29" s="429" t="s">
        <v>552</v>
      </c>
      <c r="C29" s="407">
        <f>G24</f>
        <v>607.730000000009</v>
      </c>
      <c r="E29" s="116"/>
      <c r="G29" s="116"/>
      <c r="H29" s="193"/>
      <c r="J29" s="116"/>
      <c r="L29" s="116"/>
      <c r="M29" s="116"/>
    </row>
    <row r="30" spans="1:14" ht="13.8" thickBot="1" x14ac:dyDescent="0.3">
      <c r="B30" s="167"/>
      <c r="C30" s="407"/>
      <c r="E30" s="116"/>
      <c r="G30" s="116"/>
      <c r="H30" s="193"/>
      <c r="I30" s="116"/>
      <c r="J30" s="116"/>
      <c r="K30" s="116"/>
    </row>
    <row r="31" spans="1:14" ht="13.8" thickBot="1" x14ac:dyDescent="0.3">
      <c r="A31" s="116"/>
      <c r="B31" s="462" t="s">
        <v>98</v>
      </c>
      <c r="C31" s="463">
        <f>C27+C29</f>
        <v>20698.100000000013</v>
      </c>
      <c r="E31" s="116"/>
      <c r="G31" s="116"/>
      <c r="H31" s="116"/>
      <c r="I31" s="116"/>
      <c r="J31" s="116"/>
      <c r="K31" s="422"/>
    </row>
    <row r="33" spans="1:5" x14ac:dyDescent="0.25">
      <c r="C33" s="116">
        <f>C25-C31</f>
        <v>0</v>
      </c>
    </row>
    <row r="37" spans="1:5" x14ac:dyDescent="0.25">
      <c r="B37" s="7"/>
    </row>
    <row r="39" spans="1:5" x14ac:dyDescent="0.25">
      <c r="A39" s="500"/>
      <c r="B39" s="7"/>
      <c r="E39" s="7"/>
    </row>
    <row r="40" spans="1:5" x14ac:dyDescent="0.25">
      <c r="A40" s="500"/>
      <c r="B40" s="7"/>
      <c r="E40" s="7"/>
    </row>
    <row r="41" spans="1:5" x14ac:dyDescent="0.25">
      <c r="A41" s="798"/>
      <c r="B41" s="7"/>
      <c r="E41" s="7"/>
    </row>
  </sheetData>
  <pageMargins left="0.7" right="0.7" top="0.75" bottom="0.75" header="0.3" footer="0.3"/>
  <pageSetup paperSize="9" scale="68" orientation="landscape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273"/>
  <sheetViews>
    <sheetView topLeftCell="A235" workbookViewId="0">
      <selection activeCell="F262" sqref="F262"/>
    </sheetView>
  </sheetViews>
  <sheetFormatPr defaultRowHeight="13.2" x14ac:dyDescent="0.25"/>
  <cols>
    <col min="2" max="2" width="14.88671875" customWidth="1"/>
    <col min="3" max="3" width="13.21875" customWidth="1"/>
    <col min="4" max="4" width="13.44140625" customWidth="1"/>
    <col min="5" max="6" width="17.6640625" customWidth="1"/>
    <col min="7" max="7" width="3.88671875" customWidth="1"/>
    <col min="8" max="8" width="17.109375" customWidth="1"/>
    <col min="9" max="9" width="18.5546875" customWidth="1"/>
  </cols>
  <sheetData>
    <row r="1" spans="2:9" ht="21" x14ac:dyDescent="0.4">
      <c r="B1" s="150" t="s">
        <v>682</v>
      </c>
    </row>
    <row r="2" spans="2:9" ht="17.399999999999999" x14ac:dyDescent="0.3">
      <c r="B2" s="250">
        <v>45224</v>
      </c>
    </row>
    <row r="4" spans="2:9" ht="13.8" thickBot="1" x14ac:dyDescent="0.3"/>
    <row r="5" spans="2:9" ht="16.2" thickBot="1" x14ac:dyDescent="0.35">
      <c r="B5" s="382" t="s">
        <v>600</v>
      </c>
      <c r="C5" s="156"/>
      <c r="D5" s="156"/>
      <c r="E5" s="199" t="s">
        <v>112</v>
      </c>
      <c r="F5" s="383"/>
    </row>
    <row r="6" spans="2:9" ht="0.6" customHeight="1" thickBot="1" x14ac:dyDescent="0.35">
      <c r="B6" s="667">
        <v>44196</v>
      </c>
      <c r="C6" s="668" t="s">
        <v>2</v>
      </c>
      <c r="D6" s="668"/>
      <c r="E6" s="669"/>
      <c r="F6" s="670">
        <v>0.1</v>
      </c>
      <c r="I6" s="116"/>
    </row>
    <row r="7" spans="2:9" ht="15.6" hidden="1" x14ac:dyDescent="0.3">
      <c r="B7" s="387"/>
      <c r="C7" s="170" t="s">
        <v>590</v>
      </c>
      <c r="D7" s="170"/>
      <c r="E7" s="165"/>
      <c r="F7" s="210"/>
      <c r="I7" s="116"/>
    </row>
    <row r="8" spans="2:9" ht="15.6" hidden="1" x14ac:dyDescent="0.3">
      <c r="B8" s="387">
        <v>44201</v>
      </c>
      <c r="C8" s="170" t="s">
        <v>67</v>
      </c>
      <c r="D8" s="170"/>
      <c r="E8" s="165"/>
      <c r="F8" s="210">
        <v>-9.9499999999999993</v>
      </c>
      <c r="I8" s="116"/>
    </row>
    <row r="9" spans="2:9" ht="15.6" hidden="1" x14ac:dyDescent="0.3">
      <c r="B9" s="387">
        <v>44230</v>
      </c>
      <c r="C9" s="170" t="s">
        <v>67</v>
      </c>
      <c r="D9" s="170"/>
      <c r="E9" s="165"/>
      <c r="F9" s="210">
        <v>-9.9499999999999993</v>
      </c>
      <c r="I9" s="116"/>
    </row>
    <row r="10" spans="2:9" ht="15.6" hidden="1" x14ac:dyDescent="0.3">
      <c r="B10" s="387">
        <v>44257</v>
      </c>
      <c r="C10" s="170" t="s">
        <v>67</v>
      </c>
      <c r="D10" s="170"/>
      <c r="E10" s="165"/>
      <c r="F10" s="210">
        <v>-9.9499999999999993</v>
      </c>
      <c r="I10" s="116"/>
    </row>
    <row r="11" spans="2:9" ht="1.2" hidden="1" customHeight="1" x14ac:dyDescent="0.3">
      <c r="B11" s="387">
        <v>44288</v>
      </c>
      <c r="C11" s="170" t="s">
        <v>67</v>
      </c>
      <c r="D11" s="170"/>
      <c r="E11" s="165"/>
      <c r="F11" s="210">
        <v>-9.9499999999999993</v>
      </c>
      <c r="I11" s="116"/>
    </row>
    <row r="12" spans="2:9" ht="15.6" hidden="1" x14ac:dyDescent="0.3">
      <c r="B12" s="387">
        <v>44320</v>
      </c>
      <c r="C12" s="170" t="s">
        <v>67</v>
      </c>
      <c r="D12" s="170"/>
      <c r="E12" s="165"/>
      <c r="F12" s="210">
        <v>-9.9499999999999993</v>
      </c>
      <c r="I12" s="116"/>
    </row>
    <row r="13" spans="2:9" ht="15.6" hidden="1" x14ac:dyDescent="0.3">
      <c r="B13" s="387">
        <v>44349</v>
      </c>
      <c r="C13" s="170" t="s">
        <v>67</v>
      </c>
      <c r="D13" s="170"/>
      <c r="E13" s="165"/>
      <c r="F13" s="210">
        <f>-9.95</f>
        <v>-9.9499999999999993</v>
      </c>
      <c r="I13" s="116"/>
    </row>
    <row r="14" spans="2:9" ht="15.6" hidden="1" x14ac:dyDescent="0.3">
      <c r="B14" s="387">
        <v>44379</v>
      </c>
      <c r="C14" s="170" t="s">
        <v>67</v>
      </c>
      <c r="D14" s="170"/>
      <c r="E14" s="165"/>
      <c r="F14" s="210">
        <v>-9.9499999999999993</v>
      </c>
      <c r="I14" s="116"/>
    </row>
    <row r="15" spans="2:9" ht="15.6" hidden="1" x14ac:dyDescent="0.3">
      <c r="B15" s="387">
        <v>44413</v>
      </c>
      <c r="C15" s="170" t="s">
        <v>67</v>
      </c>
      <c r="D15" s="170"/>
      <c r="E15" s="165"/>
      <c r="F15" s="210">
        <v>-9.9499999999999993</v>
      </c>
      <c r="I15" s="116"/>
    </row>
    <row r="16" spans="2:9" ht="15.6" hidden="1" x14ac:dyDescent="0.3">
      <c r="B16" s="387">
        <v>44441</v>
      </c>
      <c r="C16" s="170" t="s">
        <v>67</v>
      </c>
      <c r="D16" s="170"/>
      <c r="E16" s="165"/>
      <c r="F16" s="210">
        <v>-9.9499999999999993</v>
      </c>
      <c r="I16" s="116"/>
    </row>
    <row r="17" spans="2:10" ht="15.6" hidden="1" x14ac:dyDescent="0.3">
      <c r="B17" s="387">
        <v>44471</v>
      </c>
      <c r="C17" s="170" t="s">
        <v>615</v>
      </c>
      <c r="D17" s="170"/>
      <c r="E17" s="165"/>
      <c r="F17" s="210">
        <v>-9.9499999999999993</v>
      </c>
      <c r="I17" s="116"/>
    </row>
    <row r="18" spans="2:10" ht="15.6" hidden="1" x14ac:dyDescent="0.3">
      <c r="B18" s="387">
        <v>44502</v>
      </c>
      <c r="C18" s="170" t="s">
        <v>67</v>
      </c>
      <c r="D18" s="170"/>
      <c r="E18" s="165"/>
      <c r="F18" s="210">
        <v>-9.9499999999999993</v>
      </c>
      <c r="I18" s="116"/>
    </row>
    <row r="19" spans="2:10" ht="15.6" hidden="1" x14ac:dyDescent="0.3">
      <c r="B19" s="387">
        <v>44532</v>
      </c>
      <c r="C19" s="170" t="s">
        <v>67</v>
      </c>
      <c r="D19" s="170"/>
      <c r="E19" s="165"/>
      <c r="F19" s="210">
        <v>-9.9499999999999993</v>
      </c>
      <c r="I19" s="116"/>
    </row>
    <row r="20" spans="2:10" ht="16.2" hidden="1" thickBot="1" x14ac:dyDescent="0.35">
      <c r="B20" s="592"/>
      <c r="C20" s="593" t="s">
        <v>589</v>
      </c>
      <c r="D20" s="740"/>
      <c r="E20" s="594"/>
      <c r="F20" s="595">
        <f>SUM(F8:F19)</f>
        <v>-119.40000000000002</v>
      </c>
      <c r="I20" s="116"/>
    </row>
    <row r="21" spans="2:10" ht="15.6" hidden="1" x14ac:dyDescent="0.3">
      <c r="B21" s="387"/>
      <c r="C21" s="170" t="s">
        <v>591</v>
      </c>
      <c r="D21" s="170"/>
      <c r="E21" s="165"/>
      <c r="F21" s="742"/>
      <c r="I21" s="116"/>
    </row>
    <row r="22" spans="2:10" ht="15.6" hidden="1" x14ac:dyDescent="0.3">
      <c r="B22" s="387">
        <v>44280</v>
      </c>
      <c r="C22" s="170" t="s">
        <v>598</v>
      </c>
      <c r="D22" s="170"/>
      <c r="E22" s="165"/>
      <c r="F22" s="759">
        <v>200</v>
      </c>
      <c r="I22" s="794" t="s">
        <v>628</v>
      </c>
    </row>
    <row r="23" spans="2:10" ht="20.399999999999999" hidden="1" customHeight="1" x14ac:dyDescent="0.3">
      <c r="B23" s="671"/>
      <c r="C23" s="665" t="s">
        <v>592</v>
      </c>
      <c r="D23" s="665"/>
      <c r="E23" s="666"/>
      <c r="F23" s="760">
        <f>SUM(F21:F22)</f>
        <v>200</v>
      </c>
      <c r="I23" s="116"/>
    </row>
    <row r="24" spans="2:10" ht="16.2" thickBot="1" x14ac:dyDescent="0.35">
      <c r="B24" s="98">
        <v>44561</v>
      </c>
      <c r="C24" s="92" t="s">
        <v>2</v>
      </c>
      <c r="D24" s="92"/>
      <c r="E24" s="509"/>
      <c r="F24" s="99">
        <f>F6+F20+F23</f>
        <v>80.699999999999974</v>
      </c>
      <c r="I24" s="116"/>
    </row>
    <row r="25" spans="2:10" ht="15.6" x14ac:dyDescent="0.3">
      <c r="B25" s="589"/>
      <c r="C25" s="590" t="s">
        <v>635</v>
      </c>
      <c r="D25" s="590"/>
      <c r="E25" s="591"/>
      <c r="F25" s="449"/>
      <c r="I25" s="116"/>
    </row>
    <row r="26" spans="2:10" ht="15.6" x14ac:dyDescent="0.3">
      <c r="B26" s="387" t="s">
        <v>636</v>
      </c>
      <c r="C26" s="170" t="s">
        <v>67</v>
      </c>
      <c r="D26" s="170"/>
      <c r="E26" s="165"/>
      <c r="F26" s="210">
        <v>-9.9499999999999993</v>
      </c>
      <c r="H26" s="123" t="s">
        <v>376</v>
      </c>
      <c r="I26" s="116"/>
      <c r="J26" s="193"/>
    </row>
    <row r="27" spans="2:10" ht="15.6" x14ac:dyDescent="0.3">
      <c r="B27" s="387">
        <v>44580</v>
      </c>
      <c r="C27" s="170" t="s">
        <v>641</v>
      </c>
      <c r="D27" s="170"/>
      <c r="E27" s="165"/>
      <c r="F27" s="210">
        <v>-0.01</v>
      </c>
      <c r="H27" s="123" t="s">
        <v>376</v>
      </c>
      <c r="I27" s="116"/>
      <c r="J27" s="193"/>
    </row>
    <row r="28" spans="2:10" ht="15.6" x14ac:dyDescent="0.3">
      <c r="B28" s="387">
        <v>44594</v>
      </c>
      <c r="C28" s="170" t="s">
        <v>67</v>
      </c>
      <c r="D28" s="170"/>
      <c r="E28" s="165"/>
      <c r="F28" s="210">
        <v>-9.9499999999999993</v>
      </c>
      <c r="H28" s="123" t="s">
        <v>376</v>
      </c>
      <c r="I28" s="116"/>
      <c r="J28" s="193"/>
    </row>
    <row r="29" spans="2:10" ht="15.6" x14ac:dyDescent="0.3">
      <c r="B29" s="387">
        <v>44622</v>
      </c>
      <c r="C29" s="170" t="s">
        <v>67</v>
      </c>
      <c r="D29" s="170"/>
      <c r="E29" s="165"/>
      <c r="F29" s="210">
        <v>-9.9499999999999993</v>
      </c>
      <c r="H29" s="123" t="s">
        <v>376</v>
      </c>
      <c r="I29" s="116"/>
      <c r="J29" s="193"/>
    </row>
    <row r="30" spans="2:10" ht="15.6" x14ac:dyDescent="0.3">
      <c r="B30" s="387">
        <v>44654</v>
      </c>
      <c r="C30" s="170" t="s">
        <v>67</v>
      </c>
      <c r="D30" s="170"/>
      <c r="E30" s="165"/>
      <c r="F30" s="210">
        <v>-9.9499999999999993</v>
      </c>
      <c r="H30" s="123" t="s">
        <v>376</v>
      </c>
      <c r="I30" s="116"/>
      <c r="J30" s="193"/>
    </row>
    <row r="31" spans="2:10" ht="15.6" x14ac:dyDescent="0.3">
      <c r="B31" s="387">
        <v>44684</v>
      </c>
      <c r="C31" s="170" t="s">
        <v>67</v>
      </c>
      <c r="D31" s="170"/>
      <c r="E31" s="165"/>
      <c r="F31" s="210">
        <v>-9.9499999999999993</v>
      </c>
      <c r="H31" s="123" t="s">
        <v>376</v>
      </c>
      <c r="I31" s="116"/>
      <c r="J31" s="193"/>
    </row>
    <row r="32" spans="2:10" ht="15.6" x14ac:dyDescent="0.3">
      <c r="B32" s="387">
        <v>44714</v>
      </c>
      <c r="C32" s="170" t="s">
        <v>67</v>
      </c>
      <c r="D32" s="170"/>
      <c r="E32" s="165"/>
      <c r="F32" s="210">
        <v>-9.9499999999999993</v>
      </c>
      <c r="H32" s="123" t="s">
        <v>376</v>
      </c>
      <c r="I32" s="116"/>
      <c r="J32" s="193"/>
    </row>
    <row r="33" spans="2:10" ht="15.6" x14ac:dyDescent="0.3">
      <c r="B33" s="387">
        <v>44744</v>
      </c>
      <c r="C33" s="170" t="s">
        <v>67</v>
      </c>
      <c r="D33" s="170"/>
      <c r="E33" s="165"/>
      <c r="F33" s="210">
        <v>-9.9499999999999993</v>
      </c>
      <c r="H33" s="123" t="s">
        <v>376</v>
      </c>
      <c r="I33" s="116"/>
      <c r="J33" s="193"/>
    </row>
    <row r="34" spans="2:10" ht="15.6" x14ac:dyDescent="0.3">
      <c r="B34" s="387">
        <v>44781</v>
      </c>
      <c r="C34" s="170" t="s">
        <v>67</v>
      </c>
      <c r="D34" s="170"/>
      <c r="E34" s="165"/>
      <c r="F34" s="210">
        <v>-9.9499999999999993</v>
      </c>
      <c r="H34" s="123" t="s">
        <v>376</v>
      </c>
      <c r="I34" s="116"/>
      <c r="J34" s="193"/>
    </row>
    <row r="35" spans="2:10" ht="15.6" x14ac:dyDescent="0.3">
      <c r="B35" s="387">
        <v>44806</v>
      </c>
      <c r="C35" s="170" t="s">
        <v>67</v>
      </c>
      <c r="D35" s="170"/>
      <c r="E35" s="165"/>
      <c r="F35" s="210">
        <v>-9.9499999999999993</v>
      </c>
      <c r="H35" s="123" t="s">
        <v>376</v>
      </c>
      <c r="I35" s="116"/>
      <c r="J35" s="193"/>
    </row>
    <row r="36" spans="2:10" ht="15.6" x14ac:dyDescent="0.3">
      <c r="B36" s="387">
        <v>44837</v>
      </c>
      <c r="C36" s="170" t="s">
        <v>67</v>
      </c>
      <c r="D36" s="170"/>
      <c r="E36" s="165"/>
      <c r="F36" s="210">
        <v>-9.9499999999999993</v>
      </c>
      <c r="H36" s="123" t="s">
        <v>376</v>
      </c>
      <c r="I36" s="116"/>
      <c r="J36" s="193"/>
    </row>
    <row r="37" spans="2:10" ht="15.6" x14ac:dyDescent="0.3">
      <c r="B37" s="387">
        <v>44867</v>
      </c>
      <c r="C37" s="170" t="s">
        <v>67</v>
      </c>
      <c r="D37" s="170"/>
      <c r="E37" s="165"/>
      <c r="F37" s="210">
        <v>-9.9499999999999993</v>
      </c>
      <c r="H37" s="123" t="s">
        <v>376</v>
      </c>
      <c r="I37" s="116"/>
      <c r="J37" s="193"/>
    </row>
    <row r="38" spans="2:10" ht="15.6" x14ac:dyDescent="0.3">
      <c r="B38" s="387">
        <v>44897</v>
      </c>
      <c r="C38" s="170" t="s">
        <v>67</v>
      </c>
      <c r="D38" s="170"/>
      <c r="E38" s="165"/>
      <c r="F38" s="210">
        <v>-9.9499999999999993</v>
      </c>
      <c r="H38" s="123" t="s">
        <v>376</v>
      </c>
      <c r="I38" s="116"/>
      <c r="J38" s="193"/>
    </row>
    <row r="39" spans="2:10" ht="15.6" x14ac:dyDescent="0.3">
      <c r="B39" s="671"/>
      <c r="C39" s="664" t="s">
        <v>637</v>
      </c>
      <c r="D39" s="664"/>
      <c r="E39" s="664"/>
      <c r="F39" s="672">
        <f>SUM(F26:F38)</f>
        <v>-119.41000000000001</v>
      </c>
      <c r="I39" s="116"/>
      <c r="J39" s="193"/>
    </row>
    <row r="40" spans="2:10" ht="15.6" x14ac:dyDescent="0.3">
      <c r="B40" s="387"/>
      <c r="C40" s="170" t="s">
        <v>638</v>
      </c>
      <c r="D40" s="170"/>
      <c r="E40" s="165"/>
      <c r="F40" s="210"/>
      <c r="I40" s="116"/>
      <c r="J40" s="193"/>
    </row>
    <row r="41" spans="2:10" ht="15.6" x14ac:dyDescent="0.3">
      <c r="B41" s="387"/>
      <c r="C41" s="170"/>
      <c r="D41" s="170"/>
      <c r="E41" s="165"/>
      <c r="F41" s="210"/>
      <c r="I41" s="116"/>
      <c r="J41" s="193"/>
    </row>
    <row r="42" spans="2:10" ht="15.6" x14ac:dyDescent="0.3">
      <c r="B42" s="795"/>
      <c r="C42" s="665" t="s">
        <v>639</v>
      </c>
      <c r="D42" s="665"/>
      <c r="E42" s="665"/>
      <c r="F42" s="760">
        <f>SUM(F41)</f>
        <v>0</v>
      </c>
      <c r="I42" s="116"/>
      <c r="J42" s="193"/>
    </row>
    <row r="43" spans="2:10" ht="16.2" thickBot="1" x14ac:dyDescent="0.35">
      <c r="B43" s="98">
        <v>44926</v>
      </c>
      <c r="C43" s="92" t="s">
        <v>2</v>
      </c>
      <c r="D43" s="92"/>
      <c r="E43" s="509"/>
      <c r="F43" s="99">
        <f>F24+F39+F42</f>
        <v>-38.710000000000036</v>
      </c>
      <c r="I43" s="193"/>
      <c r="J43" s="193"/>
    </row>
    <row r="44" spans="2:10" ht="15.6" x14ac:dyDescent="0.3">
      <c r="B44" s="589"/>
      <c r="C44" s="590" t="s">
        <v>667</v>
      </c>
      <c r="D44" s="590"/>
      <c r="E44" s="591"/>
      <c r="F44" s="449"/>
      <c r="I44" s="193"/>
      <c r="J44" s="95"/>
    </row>
    <row r="45" spans="2:10" ht="15.6" x14ac:dyDescent="0.3">
      <c r="B45" s="387">
        <v>44929</v>
      </c>
      <c r="C45" s="170" t="s">
        <v>67</v>
      </c>
      <c r="D45" s="170"/>
      <c r="E45" s="165"/>
      <c r="F45" s="210">
        <v>-9.9499999999999993</v>
      </c>
      <c r="H45" s="123" t="s">
        <v>376</v>
      </c>
      <c r="I45" s="193"/>
      <c r="J45" s="95"/>
    </row>
    <row r="46" spans="2:10" ht="15.6" x14ac:dyDescent="0.3">
      <c r="B46" s="387">
        <v>44959</v>
      </c>
      <c r="C46" s="170" t="s">
        <v>67</v>
      </c>
      <c r="D46" s="170"/>
      <c r="E46" s="165"/>
      <c r="F46" s="210">
        <v>-14.33</v>
      </c>
      <c r="H46" s="123" t="s">
        <v>376</v>
      </c>
      <c r="I46" s="193"/>
      <c r="J46" s="95"/>
    </row>
    <row r="47" spans="2:10" ht="15.6" x14ac:dyDescent="0.3">
      <c r="B47" s="387">
        <v>44987</v>
      </c>
      <c r="C47" s="170" t="s">
        <v>67</v>
      </c>
      <c r="D47" s="170"/>
      <c r="E47" s="165"/>
      <c r="F47" s="210">
        <v>-13.67</v>
      </c>
      <c r="H47" s="123" t="s">
        <v>376</v>
      </c>
      <c r="I47" s="193"/>
      <c r="J47" s="95"/>
    </row>
    <row r="48" spans="2:10" ht="15.6" x14ac:dyDescent="0.3">
      <c r="B48" s="387">
        <v>45020</v>
      </c>
      <c r="C48" s="170" t="s">
        <v>67</v>
      </c>
      <c r="D48" s="170"/>
      <c r="E48" s="165"/>
      <c r="F48" s="210">
        <v>-14.12</v>
      </c>
      <c r="H48" s="123" t="s">
        <v>376</v>
      </c>
      <c r="I48" s="193"/>
      <c r="J48" s="95"/>
    </row>
    <row r="49" spans="2:10" ht="15.6" x14ac:dyDescent="0.3">
      <c r="B49" s="228">
        <v>45048</v>
      </c>
      <c r="C49" s="170" t="s">
        <v>67</v>
      </c>
      <c r="D49" s="170"/>
      <c r="E49" s="165"/>
      <c r="F49" s="217">
        <v>-13.67</v>
      </c>
      <c r="H49" s="123" t="s">
        <v>376</v>
      </c>
      <c r="I49" s="193"/>
      <c r="J49" s="95"/>
    </row>
    <row r="50" spans="2:10" ht="15.6" x14ac:dyDescent="0.3">
      <c r="B50" s="228">
        <v>45079</v>
      </c>
      <c r="C50" s="170" t="s">
        <v>67</v>
      </c>
      <c r="D50" s="170"/>
      <c r="E50" s="165"/>
      <c r="F50" s="217">
        <v>-13.67</v>
      </c>
      <c r="H50" s="123" t="s">
        <v>376</v>
      </c>
      <c r="I50" s="193"/>
      <c r="J50" s="95"/>
    </row>
    <row r="51" spans="2:10" ht="15.6" x14ac:dyDescent="0.3">
      <c r="B51" s="228">
        <v>45104</v>
      </c>
      <c r="C51" s="170" t="s">
        <v>681</v>
      </c>
      <c r="D51" s="170"/>
      <c r="E51" s="165"/>
      <c r="F51" s="217">
        <v>-8.4499999999999993</v>
      </c>
      <c r="H51" s="123" t="s">
        <v>376</v>
      </c>
      <c r="I51" s="193"/>
      <c r="J51" s="95"/>
    </row>
    <row r="52" spans="2:10" ht="15.6" x14ac:dyDescent="0.3">
      <c r="B52" s="228">
        <v>45111</v>
      </c>
      <c r="C52" s="170" t="s">
        <v>67</v>
      </c>
      <c r="D52" s="170"/>
      <c r="E52" s="165"/>
      <c r="F52" s="217">
        <v>-14.54</v>
      </c>
      <c r="H52" s="123" t="s">
        <v>376</v>
      </c>
      <c r="I52" s="193"/>
      <c r="J52" s="95"/>
    </row>
    <row r="53" spans="2:10" ht="15.6" x14ac:dyDescent="0.3">
      <c r="B53" s="228">
        <v>45140</v>
      </c>
      <c r="C53" s="170" t="s">
        <v>67</v>
      </c>
      <c r="D53" s="170"/>
      <c r="E53" s="165"/>
      <c r="F53" s="217">
        <v>-14.57</v>
      </c>
      <c r="H53" s="123" t="s">
        <v>376</v>
      </c>
      <c r="I53" s="193"/>
      <c r="J53" s="95"/>
    </row>
    <row r="54" spans="2:10" ht="15.6" x14ac:dyDescent="0.3">
      <c r="B54" s="228">
        <v>45171</v>
      </c>
      <c r="C54" s="170" t="s">
        <v>67</v>
      </c>
      <c r="D54" s="170"/>
      <c r="E54" s="165"/>
      <c r="F54" s="217">
        <v>-10.039999999999999</v>
      </c>
      <c r="H54" s="123" t="s">
        <v>376</v>
      </c>
      <c r="I54" s="193"/>
      <c r="J54" s="95"/>
    </row>
    <row r="55" spans="2:10" ht="15.6" x14ac:dyDescent="0.3">
      <c r="B55" s="228">
        <v>45202</v>
      </c>
      <c r="C55" s="170" t="s">
        <v>67</v>
      </c>
      <c r="D55" s="170"/>
      <c r="E55" s="165"/>
      <c r="F55" s="217">
        <v>-17.600000000000001</v>
      </c>
      <c r="H55" s="123" t="s">
        <v>376</v>
      </c>
      <c r="I55" s="193"/>
      <c r="J55" s="95"/>
    </row>
    <row r="56" spans="2:10" ht="15.6" x14ac:dyDescent="0.3">
      <c r="B56" s="228">
        <v>45232</v>
      </c>
      <c r="C56" s="170" t="s">
        <v>67</v>
      </c>
      <c r="D56" s="170"/>
      <c r="E56" s="165"/>
      <c r="F56" s="217">
        <v>-14.99</v>
      </c>
      <c r="H56" s="123" t="s">
        <v>376</v>
      </c>
      <c r="I56" s="193"/>
      <c r="J56" s="95"/>
    </row>
    <row r="57" spans="2:10" ht="15.6" x14ac:dyDescent="0.3">
      <c r="B57" s="228">
        <v>45262</v>
      </c>
      <c r="C57" s="170" t="s">
        <v>67</v>
      </c>
      <c r="D57" s="170"/>
      <c r="E57" s="165"/>
      <c r="F57" s="217">
        <v>-14.42</v>
      </c>
      <c r="H57" s="123" t="s">
        <v>376</v>
      </c>
      <c r="I57" s="193"/>
      <c r="J57" s="95"/>
    </row>
    <row r="58" spans="2:10" ht="15.6" x14ac:dyDescent="0.3">
      <c r="B58" s="671"/>
      <c r="C58" s="664" t="s">
        <v>668</v>
      </c>
      <c r="D58" s="664"/>
      <c r="E58" s="664"/>
      <c r="F58" s="672">
        <f>SUM(F45:F57)</f>
        <v>-174.01999999999998</v>
      </c>
      <c r="I58" s="193"/>
      <c r="J58" s="95"/>
    </row>
    <row r="59" spans="2:10" ht="15.6" x14ac:dyDescent="0.3">
      <c r="B59" s="387"/>
      <c r="C59" s="170" t="s">
        <v>669</v>
      </c>
      <c r="D59" s="170"/>
      <c r="E59" s="165"/>
      <c r="F59" s="210"/>
      <c r="I59" s="193"/>
      <c r="J59" s="95"/>
    </row>
    <row r="60" spans="2:10" ht="15.6" x14ac:dyDescent="0.3">
      <c r="B60" s="387">
        <v>45005</v>
      </c>
      <c r="C60" s="170" t="s">
        <v>711</v>
      </c>
      <c r="D60" s="170"/>
      <c r="E60" s="165"/>
      <c r="F60" s="210">
        <v>100</v>
      </c>
      <c r="H60" s="7" t="s">
        <v>705</v>
      </c>
      <c r="I60" s="193"/>
      <c r="J60" s="95"/>
    </row>
    <row r="61" spans="2:10" ht="15.6" x14ac:dyDescent="0.3">
      <c r="B61" s="387">
        <v>45103</v>
      </c>
      <c r="C61" s="170" t="s">
        <v>711</v>
      </c>
      <c r="D61" s="170"/>
      <c r="E61" s="165"/>
      <c r="F61" s="210">
        <v>50</v>
      </c>
      <c r="H61" s="7" t="s">
        <v>705</v>
      </c>
      <c r="I61" s="193"/>
      <c r="J61" s="95"/>
    </row>
    <row r="62" spans="2:10" ht="15.6" x14ac:dyDescent="0.3">
      <c r="B62" s="387">
        <v>45290</v>
      </c>
      <c r="C62" s="170" t="s">
        <v>711</v>
      </c>
      <c r="D62" s="170"/>
      <c r="E62" s="165"/>
      <c r="F62" s="210">
        <f>62.73</f>
        <v>62.73</v>
      </c>
      <c r="H62" s="7" t="s">
        <v>705</v>
      </c>
      <c r="I62" s="193"/>
      <c r="J62" s="95"/>
    </row>
    <row r="63" spans="2:10" ht="15.6" x14ac:dyDescent="0.3">
      <c r="B63" s="795"/>
      <c r="C63" s="665" t="s">
        <v>670</v>
      </c>
      <c r="D63" s="665"/>
      <c r="E63" s="665"/>
      <c r="F63" s="672">
        <f>SUM(F60:F62)</f>
        <v>212.73</v>
      </c>
      <c r="I63" s="193"/>
      <c r="J63" s="95"/>
    </row>
    <row r="64" spans="2:10" ht="16.2" thickBot="1" x14ac:dyDescent="0.35">
      <c r="B64" s="98">
        <v>45291</v>
      </c>
      <c r="C64" s="92" t="s">
        <v>2</v>
      </c>
      <c r="D64" s="92"/>
      <c r="E64" s="509"/>
      <c r="F64" s="99">
        <f>F43+F58+F63</f>
        <v>0</v>
      </c>
      <c r="I64" s="193"/>
      <c r="J64" s="95"/>
    </row>
    <row r="65" spans="2:9" ht="15.6" x14ac:dyDescent="0.3">
      <c r="B65" s="821" t="s">
        <v>712</v>
      </c>
      <c r="C65" s="822"/>
      <c r="D65" s="822"/>
      <c r="E65" s="823"/>
      <c r="F65" s="824"/>
      <c r="I65" s="193"/>
    </row>
    <row r="66" spans="2:9" ht="15.6" x14ac:dyDescent="0.3">
      <c r="B66" s="416"/>
      <c r="C66" s="8"/>
      <c r="D66" s="8"/>
      <c r="E66" s="12"/>
      <c r="F66" s="418"/>
      <c r="I66" s="193"/>
    </row>
    <row r="67" spans="2:9" ht="15.6" x14ac:dyDescent="0.3">
      <c r="B67" s="416"/>
      <c r="C67" s="8"/>
      <c r="D67" s="8"/>
      <c r="E67" s="12"/>
      <c r="F67" s="418"/>
      <c r="I67" s="193"/>
    </row>
    <row r="68" spans="2:9" x14ac:dyDescent="0.25">
      <c r="B68" s="197" t="s">
        <v>131</v>
      </c>
      <c r="C68" s="328"/>
      <c r="D68" s="328"/>
      <c r="E68" s="328"/>
      <c r="F68" s="597"/>
      <c r="I68" s="116"/>
    </row>
    <row r="69" spans="2:9" ht="15" customHeight="1" thickBot="1" x14ac:dyDescent="0.35">
      <c r="B69" s="747" t="s">
        <v>83</v>
      </c>
      <c r="C69" s="748"/>
      <c r="D69" s="162"/>
      <c r="E69" s="749" t="s">
        <v>115</v>
      </c>
      <c r="F69" s="178"/>
      <c r="I69" s="116"/>
    </row>
    <row r="70" spans="2:9" ht="16.2" hidden="1" thickBot="1" x14ac:dyDescent="0.35">
      <c r="B70" s="98">
        <v>44196</v>
      </c>
      <c r="C70" s="92" t="s">
        <v>2</v>
      </c>
      <c r="D70" s="92"/>
      <c r="E70" s="509"/>
      <c r="F70" s="99">
        <v>12999.53</v>
      </c>
      <c r="H70">
        <v>12999.53</v>
      </c>
    </row>
    <row r="71" spans="2:9" ht="15.6" hidden="1" x14ac:dyDescent="0.3">
      <c r="B71" s="387"/>
      <c r="C71" s="170" t="s">
        <v>590</v>
      </c>
      <c r="D71" s="170"/>
      <c r="E71" s="165"/>
      <c r="F71" s="210"/>
    </row>
    <row r="72" spans="2:9" ht="15.6" hidden="1" x14ac:dyDescent="0.3">
      <c r="B72" s="387" t="s">
        <v>604</v>
      </c>
      <c r="C72" s="170" t="s">
        <v>605</v>
      </c>
      <c r="D72" s="170"/>
      <c r="E72" s="165"/>
      <c r="F72" s="210">
        <v>-10</v>
      </c>
      <c r="H72" s="7" t="s">
        <v>376</v>
      </c>
      <c r="I72" s="7" t="s">
        <v>606</v>
      </c>
    </row>
    <row r="73" spans="2:9" ht="15.6" hidden="1" x14ac:dyDescent="0.3">
      <c r="B73" s="387">
        <v>44438</v>
      </c>
      <c r="C73" s="170" t="s">
        <v>620</v>
      </c>
      <c r="D73" s="170"/>
      <c r="E73" s="165"/>
      <c r="F73" s="210">
        <v>-290.39999999999998</v>
      </c>
      <c r="H73" s="793" t="s">
        <v>634</v>
      </c>
    </row>
    <row r="74" spans="2:9" ht="15.6" hidden="1" x14ac:dyDescent="0.3">
      <c r="B74" s="387">
        <v>44471</v>
      </c>
      <c r="C74" s="170" t="s">
        <v>617</v>
      </c>
      <c r="D74" s="170"/>
      <c r="E74" s="165"/>
      <c r="F74" s="210">
        <v>-362.15</v>
      </c>
      <c r="H74" s="793" t="s">
        <v>634</v>
      </c>
    </row>
    <row r="75" spans="2:9" ht="15.6" hidden="1" x14ac:dyDescent="0.3">
      <c r="B75" s="387" t="s">
        <v>618</v>
      </c>
      <c r="C75" s="170" t="s">
        <v>619</v>
      </c>
      <c r="D75" s="170"/>
      <c r="E75" s="165"/>
      <c r="F75" s="210">
        <v>-226.86</v>
      </c>
      <c r="H75" s="793" t="s">
        <v>634</v>
      </c>
    </row>
    <row r="76" spans="2:9" ht="16.2" hidden="1" thickBot="1" x14ac:dyDescent="0.35">
      <c r="B76" s="592"/>
      <c r="C76" s="593" t="s">
        <v>589</v>
      </c>
      <c r="D76" s="740"/>
      <c r="E76" s="594"/>
      <c r="F76" s="741">
        <f>SUM(F72:F75)</f>
        <v>-889.41</v>
      </c>
    </row>
    <row r="77" spans="2:9" ht="15.6" hidden="1" x14ac:dyDescent="0.3">
      <c r="B77" s="589"/>
      <c r="C77" s="590" t="s">
        <v>591</v>
      </c>
      <c r="D77" s="590"/>
      <c r="E77" s="591"/>
      <c r="F77" s="750"/>
    </row>
    <row r="78" spans="2:9" ht="15.6" hidden="1" x14ac:dyDescent="0.3">
      <c r="B78" s="387">
        <v>44197</v>
      </c>
      <c r="C78" s="170" t="s">
        <v>59</v>
      </c>
      <c r="D78" s="170"/>
      <c r="E78" s="165"/>
      <c r="F78" s="742">
        <v>1.53</v>
      </c>
      <c r="H78" t="s">
        <v>376</v>
      </c>
    </row>
    <row r="79" spans="2:9" ht="15.6" hidden="1" x14ac:dyDescent="0.3">
      <c r="B79" s="387">
        <v>44312</v>
      </c>
      <c r="C79" s="170" t="s">
        <v>603</v>
      </c>
      <c r="D79" s="170"/>
      <c r="E79" s="165"/>
      <c r="F79" s="742">
        <v>10</v>
      </c>
      <c r="H79" s="7" t="s">
        <v>376</v>
      </c>
      <c r="I79" s="7" t="s">
        <v>334</v>
      </c>
    </row>
    <row r="80" spans="2:9" ht="15.6" hidden="1" x14ac:dyDescent="0.3">
      <c r="B80" s="387"/>
      <c r="C80" s="170"/>
      <c r="D80" s="170"/>
      <c r="E80" s="165"/>
      <c r="F80" s="742"/>
    </row>
    <row r="81" spans="2:9" ht="15.6" hidden="1" x14ac:dyDescent="0.3">
      <c r="B81" s="671"/>
      <c r="C81" s="665" t="s">
        <v>592</v>
      </c>
      <c r="D81" s="665"/>
      <c r="E81" s="666"/>
      <c r="F81" s="760">
        <f>SUM(F78:F80)</f>
        <v>11.53</v>
      </c>
    </row>
    <row r="82" spans="2:9" ht="16.2" thickBot="1" x14ac:dyDescent="0.35">
      <c r="B82" s="98">
        <v>44561</v>
      </c>
      <c r="C82" s="92" t="s">
        <v>2</v>
      </c>
      <c r="D82" s="92"/>
      <c r="E82" s="509"/>
      <c r="F82" s="99">
        <f>F70+F76+F81</f>
        <v>12121.650000000001</v>
      </c>
      <c r="H82" s="116"/>
    </row>
    <row r="83" spans="2:9" ht="15.6" x14ac:dyDescent="0.3">
      <c r="B83" s="387"/>
      <c r="C83" s="170" t="s">
        <v>635</v>
      </c>
      <c r="D83" s="170"/>
      <c r="E83" s="165"/>
      <c r="F83" s="210"/>
      <c r="H83" s="116"/>
    </row>
    <row r="84" spans="2:9" ht="15.6" x14ac:dyDescent="0.3">
      <c r="B84" s="387" t="s">
        <v>636</v>
      </c>
      <c r="C84" s="170"/>
      <c r="D84" s="170"/>
      <c r="E84" s="165"/>
      <c r="F84" s="210"/>
      <c r="H84" s="116"/>
    </row>
    <row r="85" spans="2:9" ht="15.6" x14ac:dyDescent="0.3">
      <c r="B85" s="387">
        <v>44749</v>
      </c>
      <c r="C85" s="170" t="s">
        <v>648</v>
      </c>
      <c r="D85" s="170"/>
      <c r="E85" s="165"/>
      <c r="F85" s="210">
        <v>-789.6</v>
      </c>
      <c r="H85" s="801" t="s">
        <v>664</v>
      </c>
      <c r="I85" s="193" t="s">
        <v>662</v>
      </c>
    </row>
    <row r="86" spans="2:9" ht="15.6" x14ac:dyDescent="0.3">
      <c r="B86" s="387"/>
      <c r="C86" s="170" t="s">
        <v>657</v>
      </c>
      <c r="D86" s="170"/>
      <c r="E86" s="165"/>
      <c r="F86" s="210">
        <v>-9</v>
      </c>
      <c r="H86" s="801"/>
      <c r="I86" t="s">
        <v>663</v>
      </c>
    </row>
    <row r="87" spans="2:9" ht="15.6" x14ac:dyDescent="0.3">
      <c r="B87" s="387">
        <v>44796</v>
      </c>
      <c r="C87" s="170" t="s">
        <v>651</v>
      </c>
      <c r="D87" s="170"/>
      <c r="E87" s="165"/>
      <c r="F87" s="210">
        <v>-121</v>
      </c>
      <c r="H87" s="801" t="s">
        <v>664</v>
      </c>
    </row>
    <row r="88" spans="2:9" ht="15.6" x14ac:dyDescent="0.3">
      <c r="B88" s="387">
        <v>44811</v>
      </c>
      <c r="C88" s="170" t="s">
        <v>652</v>
      </c>
      <c r="D88" s="170"/>
      <c r="E88" s="165"/>
      <c r="F88" s="210">
        <v>-181.5</v>
      </c>
      <c r="H88" s="801" t="s">
        <v>664</v>
      </c>
    </row>
    <row r="89" spans="2:9" ht="15.6" x14ac:dyDescent="0.3">
      <c r="B89" s="387">
        <v>44844</v>
      </c>
      <c r="C89" s="170" t="s">
        <v>653</v>
      </c>
      <c r="D89" s="170"/>
      <c r="E89" s="165"/>
      <c r="F89" s="210">
        <v>-157.30000000000001</v>
      </c>
      <c r="H89" s="801" t="s">
        <v>664</v>
      </c>
    </row>
    <row r="90" spans="2:9" ht="15.6" x14ac:dyDescent="0.3">
      <c r="B90" s="387"/>
      <c r="C90" s="170"/>
      <c r="D90" s="170"/>
      <c r="E90" s="165"/>
      <c r="F90" s="210"/>
      <c r="H90" s="116"/>
    </row>
    <row r="91" spans="2:9" ht="15.6" x14ac:dyDescent="0.3">
      <c r="B91" s="671"/>
      <c r="C91" s="664" t="s">
        <v>637</v>
      </c>
      <c r="D91" s="664"/>
      <c r="E91" s="664"/>
      <c r="F91" s="672">
        <f>SUM(F84:F89)</f>
        <v>-1258.3999999999999</v>
      </c>
      <c r="H91" s="116"/>
    </row>
    <row r="92" spans="2:9" ht="15.6" x14ac:dyDescent="0.3">
      <c r="B92" s="387"/>
      <c r="C92" s="170" t="s">
        <v>638</v>
      </c>
      <c r="D92" s="170"/>
      <c r="E92" s="165"/>
      <c r="F92" s="210"/>
      <c r="H92" s="116"/>
    </row>
    <row r="93" spans="2:9" ht="15.6" x14ac:dyDescent="0.3">
      <c r="B93" s="387">
        <v>44565</v>
      </c>
      <c r="C93" s="170" t="s">
        <v>640</v>
      </c>
      <c r="D93" s="170"/>
      <c r="E93" s="165"/>
      <c r="F93" s="210">
        <v>1.28</v>
      </c>
      <c r="H93" s="800" t="s">
        <v>376</v>
      </c>
    </row>
    <row r="94" spans="2:9" ht="15.6" x14ac:dyDescent="0.3">
      <c r="B94" s="795"/>
      <c r="C94" s="665" t="s">
        <v>639</v>
      </c>
      <c r="D94" s="665"/>
      <c r="E94" s="665"/>
      <c r="F94" s="760">
        <f>SUM(F93)</f>
        <v>1.28</v>
      </c>
      <c r="H94" s="116"/>
    </row>
    <row r="95" spans="2:9" ht="16.2" thickBot="1" x14ac:dyDescent="0.35">
      <c r="B95" s="98">
        <v>44926</v>
      </c>
      <c r="C95" s="92" t="s">
        <v>2</v>
      </c>
      <c r="D95" s="92"/>
      <c r="E95" s="509"/>
      <c r="F95" s="99">
        <f>F82+F91+F94</f>
        <v>10864.530000000002</v>
      </c>
      <c r="H95" s="116"/>
    </row>
    <row r="96" spans="2:9" ht="15.6" x14ac:dyDescent="0.3">
      <c r="B96" s="589"/>
      <c r="C96" s="590" t="s">
        <v>667</v>
      </c>
      <c r="D96" s="590"/>
      <c r="E96" s="591"/>
      <c r="F96" s="449"/>
      <c r="H96" s="116"/>
    </row>
    <row r="97" spans="2:8" ht="15.6" x14ac:dyDescent="0.3">
      <c r="B97" s="387">
        <v>45197</v>
      </c>
      <c r="C97" s="170" t="s">
        <v>685</v>
      </c>
      <c r="D97" s="170"/>
      <c r="E97" s="165"/>
      <c r="F97" s="210">
        <v>-154.28</v>
      </c>
      <c r="H97" s="420"/>
    </row>
    <row r="98" spans="2:8" ht="15.6" x14ac:dyDescent="0.3">
      <c r="B98" s="387">
        <v>45214</v>
      </c>
      <c r="C98" s="170" t="s">
        <v>686</v>
      </c>
      <c r="D98" s="170"/>
      <c r="E98" s="165"/>
      <c r="F98" s="210">
        <v>-290.5</v>
      </c>
      <c r="H98" s="420"/>
    </row>
    <row r="99" spans="2:8" ht="15.6" x14ac:dyDescent="0.3">
      <c r="B99" s="387">
        <v>45224</v>
      </c>
      <c r="C99" s="170" t="s">
        <v>687</v>
      </c>
      <c r="D99" s="170"/>
      <c r="E99" s="165"/>
      <c r="F99" s="210">
        <v>-81.75</v>
      </c>
      <c r="H99" s="420"/>
    </row>
    <row r="100" spans="2:8" ht="15.6" x14ac:dyDescent="0.3">
      <c r="B100" s="387">
        <v>45234</v>
      </c>
      <c r="C100" s="170" t="s">
        <v>690</v>
      </c>
      <c r="D100" s="170"/>
      <c r="E100" s="165"/>
      <c r="F100" s="210">
        <v>-117.62</v>
      </c>
      <c r="H100" s="420"/>
    </row>
    <row r="101" spans="2:8" ht="15.6" x14ac:dyDescent="0.3">
      <c r="B101" s="228"/>
      <c r="C101" s="170"/>
      <c r="D101" s="170"/>
      <c r="E101" s="165"/>
      <c r="F101" s="217"/>
      <c r="H101" s="116"/>
    </row>
    <row r="102" spans="2:8" ht="15.6" x14ac:dyDescent="0.3">
      <c r="B102" s="671"/>
      <c r="C102" s="664" t="s">
        <v>668</v>
      </c>
      <c r="D102" s="664"/>
      <c r="E102" s="664"/>
      <c r="F102" s="672">
        <f>SUM(F97:F101)</f>
        <v>-644.15</v>
      </c>
      <c r="H102" s="116"/>
    </row>
    <row r="103" spans="2:8" ht="15.6" x14ac:dyDescent="0.3">
      <c r="B103" s="387"/>
      <c r="C103" s="170" t="s">
        <v>669</v>
      </c>
      <c r="D103" s="170"/>
      <c r="E103" s="165"/>
      <c r="F103" s="210"/>
      <c r="H103" s="116"/>
    </row>
    <row r="104" spans="2:8" ht="15.6" x14ac:dyDescent="0.3">
      <c r="B104" s="387">
        <v>44927</v>
      </c>
      <c r="C104" s="170" t="s">
        <v>59</v>
      </c>
      <c r="D104" s="170"/>
      <c r="E104" s="165"/>
      <c r="F104" s="210">
        <v>3.37</v>
      </c>
      <c r="H104" s="800" t="s">
        <v>376</v>
      </c>
    </row>
    <row r="105" spans="2:8" ht="15.6" x14ac:dyDescent="0.3">
      <c r="B105" s="387"/>
      <c r="C105" s="170"/>
      <c r="D105" s="170"/>
      <c r="E105" s="165"/>
      <c r="F105" s="210"/>
      <c r="H105" s="116"/>
    </row>
    <row r="106" spans="2:8" ht="15.6" x14ac:dyDescent="0.3">
      <c r="B106" s="387"/>
      <c r="C106" s="170"/>
      <c r="D106" s="170"/>
      <c r="E106" s="165"/>
      <c r="F106" s="210"/>
      <c r="H106" s="116"/>
    </row>
    <row r="107" spans="2:8" ht="15.6" x14ac:dyDescent="0.3">
      <c r="B107" s="795"/>
      <c r="C107" s="665" t="s">
        <v>670</v>
      </c>
      <c r="D107" s="665"/>
      <c r="E107" s="665"/>
      <c r="F107" s="672">
        <f>SUM(F104:F106)</f>
        <v>3.37</v>
      </c>
      <c r="H107" s="116"/>
    </row>
    <row r="108" spans="2:8" ht="16.2" thickBot="1" x14ac:dyDescent="0.35">
      <c r="B108" s="98">
        <f>B2</f>
        <v>45224</v>
      </c>
      <c r="C108" s="92" t="s">
        <v>2</v>
      </c>
      <c r="D108" s="92"/>
      <c r="E108" s="509"/>
      <c r="F108" s="99">
        <f>F95+F102+F107</f>
        <v>10223.750000000004</v>
      </c>
      <c r="H108" s="116"/>
    </row>
    <row r="109" spans="2:8" ht="15.6" x14ac:dyDescent="0.3">
      <c r="B109" s="417"/>
      <c r="C109" s="8"/>
      <c r="D109" s="8"/>
      <c r="E109" s="12"/>
      <c r="F109" s="202"/>
      <c r="H109" s="116"/>
    </row>
    <row r="110" spans="2:8" ht="16.2" thickBot="1" x14ac:dyDescent="0.35">
      <c r="B110" s="417"/>
      <c r="C110" s="8"/>
      <c r="D110" s="8"/>
      <c r="E110" s="12"/>
      <c r="F110" s="202"/>
      <c r="H110" s="116"/>
    </row>
    <row r="111" spans="2:8" ht="15" customHeight="1" x14ac:dyDescent="0.3">
      <c r="B111" s="223" t="s">
        <v>88</v>
      </c>
      <c r="C111" s="182"/>
      <c r="D111" s="182"/>
      <c r="E111" s="393" t="s">
        <v>116</v>
      </c>
      <c r="F111" s="394"/>
    </row>
    <row r="112" spans="2:8" ht="8.4" hidden="1" customHeight="1" thickBot="1" x14ac:dyDescent="0.35">
      <c r="B112" s="98">
        <v>44196</v>
      </c>
      <c r="C112" s="92" t="s">
        <v>2</v>
      </c>
      <c r="D112" s="92"/>
      <c r="E112" s="509"/>
      <c r="F112" s="99">
        <v>1250</v>
      </c>
    </row>
    <row r="113" spans="2:9" ht="15.6" hidden="1" x14ac:dyDescent="0.3">
      <c r="B113" s="387"/>
      <c r="C113" s="170" t="s">
        <v>590</v>
      </c>
      <c r="D113" s="170"/>
      <c r="E113" s="165"/>
      <c r="F113" s="210"/>
    </row>
    <row r="114" spans="2:9" ht="15.6" hidden="1" x14ac:dyDescent="0.3">
      <c r="B114" s="387">
        <v>44461</v>
      </c>
      <c r="C114" s="170" t="s">
        <v>616</v>
      </c>
      <c r="D114" s="170"/>
      <c r="E114" s="165"/>
      <c r="F114" s="210">
        <v>-1118</v>
      </c>
      <c r="H114" s="425" t="s">
        <v>634</v>
      </c>
    </row>
    <row r="115" spans="2:9" ht="15.6" hidden="1" x14ac:dyDescent="0.3">
      <c r="B115" s="387"/>
      <c r="C115" s="170"/>
      <c r="D115" s="170"/>
      <c r="E115" s="165"/>
      <c r="F115" s="210"/>
    </row>
    <row r="116" spans="2:9" ht="15.6" hidden="1" x14ac:dyDescent="0.3">
      <c r="B116" s="387"/>
      <c r="C116" s="170"/>
      <c r="D116" s="170"/>
      <c r="E116" s="165"/>
      <c r="F116" s="210"/>
    </row>
    <row r="117" spans="2:9" ht="16.2" hidden="1" thickBot="1" x14ac:dyDescent="0.35">
      <c r="B117" s="592"/>
      <c r="C117" s="593" t="s">
        <v>589</v>
      </c>
      <c r="D117" s="740"/>
      <c r="E117" s="594"/>
      <c r="F117" s="741">
        <f>SUM(F114:F116)</f>
        <v>-1118</v>
      </c>
    </row>
    <row r="118" spans="2:9" ht="15.6" hidden="1" x14ac:dyDescent="0.3">
      <c r="B118" s="589"/>
      <c r="C118" s="590" t="s">
        <v>591</v>
      </c>
      <c r="D118" s="590"/>
      <c r="E118" s="591"/>
      <c r="F118" s="750"/>
    </row>
    <row r="119" spans="2:9" ht="15.6" hidden="1" x14ac:dyDescent="0.3">
      <c r="B119" s="387">
        <v>44362</v>
      </c>
      <c r="C119" s="170" t="s">
        <v>613</v>
      </c>
      <c r="D119" s="170"/>
      <c r="E119" s="165"/>
      <c r="F119" s="761">
        <v>1118</v>
      </c>
      <c r="H119" t="s">
        <v>376</v>
      </c>
    </row>
    <row r="120" spans="2:9" ht="15.6" hidden="1" x14ac:dyDescent="0.3">
      <c r="B120" s="387">
        <v>44516</v>
      </c>
      <c r="C120" s="170" t="s">
        <v>622</v>
      </c>
      <c r="D120" s="170"/>
      <c r="E120" s="165"/>
      <c r="F120" s="761">
        <v>253.84</v>
      </c>
      <c r="H120" t="s">
        <v>376</v>
      </c>
    </row>
    <row r="121" spans="2:9" ht="15.6" hidden="1" x14ac:dyDescent="0.3">
      <c r="B121" s="387">
        <v>44551</v>
      </c>
      <c r="C121" s="170" t="s">
        <v>623</v>
      </c>
      <c r="D121" s="170"/>
      <c r="E121" s="165"/>
      <c r="F121" s="761">
        <v>1000</v>
      </c>
      <c r="H121" t="s">
        <v>376</v>
      </c>
    </row>
    <row r="122" spans="2:9" ht="15.6" hidden="1" x14ac:dyDescent="0.3">
      <c r="B122" s="387">
        <v>44551</v>
      </c>
      <c r="C122" s="170" t="s">
        <v>623</v>
      </c>
      <c r="D122" s="170"/>
      <c r="E122" s="165"/>
      <c r="F122" s="761">
        <v>6000</v>
      </c>
      <c r="H122" t="s">
        <v>376</v>
      </c>
    </row>
    <row r="123" spans="2:9" ht="15.6" hidden="1" x14ac:dyDescent="0.3">
      <c r="B123" s="671"/>
      <c r="C123" s="665" t="s">
        <v>592</v>
      </c>
      <c r="D123" s="665"/>
      <c r="E123" s="666"/>
      <c r="F123" s="762">
        <f>SUM(F119:F122)</f>
        <v>8371.84</v>
      </c>
    </row>
    <row r="124" spans="2:9" ht="16.2" thickBot="1" x14ac:dyDescent="0.35">
      <c r="B124" s="98">
        <v>44561</v>
      </c>
      <c r="C124" s="92" t="s">
        <v>2</v>
      </c>
      <c r="D124" s="92"/>
      <c r="E124" s="509"/>
      <c r="F124" s="99">
        <f>F112+F117+F123</f>
        <v>8503.84</v>
      </c>
    </row>
    <row r="125" spans="2:9" ht="15.6" x14ac:dyDescent="0.3">
      <c r="B125" s="387"/>
      <c r="C125" s="170" t="s">
        <v>635</v>
      </c>
      <c r="D125" s="170"/>
      <c r="E125" s="165"/>
      <c r="F125" s="210"/>
    </row>
    <row r="126" spans="2:9" ht="15.6" x14ac:dyDescent="0.3">
      <c r="B126" s="387"/>
      <c r="C126" s="170" t="s">
        <v>646</v>
      </c>
      <c r="D126" s="170"/>
      <c r="E126" s="165"/>
      <c r="F126" s="210">
        <v>-1000</v>
      </c>
      <c r="H126" s="802" t="s">
        <v>664</v>
      </c>
    </row>
    <row r="127" spans="2:9" ht="15.6" x14ac:dyDescent="0.3">
      <c r="B127" s="387">
        <v>44725</v>
      </c>
      <c r="C127" s="170" t="s">
        <v>647</v>
      </c>
      <c r="D127" s="170"/>
      <c r="E127" s="165"/>
      <c r="F127" s="210">
        <v>-2160</v>
      </c>
      <c r="H127" s="802" t="s">
        <v>664</v>
      </c>
    </row>
    <row r="128" spans="2:9" ht="15.6" x14ac:dyDescent="0.3">
      <c r="B128" s="387">
        <v>44766</v>
      </c>
      <c r="C128" s="170" t="s">
        <v>650</v>
      </c>
      <c r="D128" s="170"/>
      <c r="E128" s="165"/>
      <c r="F128" s="210">
        <v>-216.76</v>
      </c>
      <c r="H128" s="802" t="s">
        <v>664</v>
      </c>
      <c r="I128" t="s">
        <v>665</v>
      </c>
    </row>
    <row r="129" spans="2:10" ht="15.6" x14ac:dyDescent="0.3">
      <c r="B129" s="387">
        <v>44766</v>
      </c>
      <c r="C129" s="170" t="s">
        <v>649</v>
      </c>
      <c r="D129" s="170"/>
      <c r="E129" s="165"/>
      <c r="F129" s="210">
        <v>-1</v>
      </c>
      <c r="H129" s="802"/>
    </row>
    <row r="130" spans="2:10" ht="15.6" x14ac:dyDescent="0.3">
      <c r="B130" s="387">
        <v>44889</v>
      </c>
      <c r="C130" s="170" t="s">
        <v>654</v>
      </c>
      <c r="D130" s="170"/>
      <c r="E130" s="165"/>
      <c r="F130" s="210">
        <v>-2130</v>
      </c>
      <c r="H130" s="802" t="s">
        <v>664</v>
      </c>
    </row>
    <row r="131" spans="2:10" ht="15.6" x14ac:dyDescent="0.3">
      <c r="B131" s="671"/>
      <c r="C131" s="664" t="s">
        <v>637</v>
      </c>
      <c r="D131" s="664"/>
      <c r="E131" s="664"/>
      <c r="F131" s="672">
        <f>SUM(F126:F130)</f>
        <v>-5507.76</v>
      </c>
    </row>
    <row r="132" spans="2:10" ht="15.6" x14ac:dyDescent="0.3">
      <c r="B132" s="387"/>
      <c r="C132" s="170" t="s">
        <v>638</v>
      </c>
      <c r="D132" s="170"/>
      <c r="E132" s="165"/>
      <c r="F132" s="210"/>
    </row>
    <row r="133" spans="2:10" ht="15.6" x14ac:dyDescent="0.3">
      <c r="B133" s="387">
        <v>44893</v>
      </c>
      <c r="C133" s="170" t="s">
        <v>623</v>
      </c>
      <c r="D133" s="170"/>
      <c r="E133" s="165"/>
      <c r="F133" s="210">
        <v>187.07</v>
      </c>
      <c r="H133" s="800" t="s">
        <v>376</v>
      </c>
    </row>
    <row r="134" spans="2:10" ht="15.6" x14ac:dyDescent="0.3">
      <c r="B134" s="387"/>
      <c r="C134" s="170"/>
      <c r="D134" s="170"/>
      <c r="E134" s="165"/>
      <c r="F134" s="210"/>
    </row>
    <row r="135" spans="2:10" ht="15.6" x14ac:dyDescent="0.3">
      <c r="B135" s="795"/>
      <c r="C135" s="665" t="s">
        <v>639</v>
      </c>
      <c r="D135" s="665"/>
      <c r="E135" s="665"/>
      <c r="F135" s="760">
        <f>SUM(F133)</f>
        <v>187.07</v>
      </c>
    </row>
    <row r="136" spans="2:10" ht="16.2" thickBot="1" x14ac:dyDescent="0.35">
      <c r="B136" s="98">
        <v>44926</v>
      </c>
      <c r="C136" s="92" t="s">
        <v>2</v>
      </c>
      <c r="D136" s="92"/>
      <c r="E136" s="509"/>
      <c r="F136" s="99">
        <f>F124+F131+F135</f>
        <v>3183.15</v>
      </c>
    </row>
    <row r="137" spans="2:10" ht="15.6" x14ac:dyDescent="0.3">
      <c r="B137" s="589"/>
      <c r="C137" s="590" t="s">
        <v>667</v>
      </c>
      <c r="D137" s="590"/>
      <c r="E137" s="591"/>
      <c r="F137" s="449"/>
    </row>
    <row r="138" spans="2:10" ht="15.6" x14ac:dyDescent="0.3">
      <c r="B138" s="387">
        <v>44944</v>
      </c>
      <c r="C138" s="170" t="s">
        <v>675</v>
      </c>
      <c r="D138" s="170"/>
      <c r="E138" s="165"/>
      <c r="F138" s="210">
        <v>-756.25</v>
      </c>
      <c r="H138" s="802" t="s">
        <v>664</v>
      </c>
      <c r="J138" s="95"/>
    </row>
    <row r="139" spans="2:10" ht="15.6" x14ac:dyDescent="0.3">
      <c r="B139" s="387">
        <v>45005</v>
      </c>
      <c r="C139" s="170" t="s">
        <v>674</v>
      </c>
      <c r="D139" s="170"/>
      <c r="E139" s="165"/>
      <c r="F139" s="210">
        <v>-2541</v>
      </c>
      <c r="H139" s="802" t="s">
        <v>664</v>
      </c>
      <c r="J139" s="95"/>
    </row>
    <row r="140" spans="2:10" ht="15.6" x14ac:dyDescent="0.3">
      <c r="B140" s="387">
        <v>45102</v>
      </c>
      <c r="C140" s="170" t="s">
        <v>678</v>
      </c>
      <c r="D140" s="170"/>
      <c r="E140" s="165"/>
      <c r="F140" s="210">
        <v>-242</v>
      </c>
      <c r="H140" s="802" t="s">
        <v>664</v>
      </c>
      <c r="J140" s="95"/>
    </row>
    <row r="141" spans="2:10" ht="15.6" x14ac:dyDescent="0.3">
      <c r="B141" s="387">
        <v>45102</v>
      </c>
      <c r="C141" s="170" t="s">
        <v>677</v>
      </c>
      <c r="D141" s="170"/>
      <c r="E141" s="165"/>
      <c r="F141" s="210">
        <v>-3050.19</v>
      </c>
      <c r="H141" s="802" t="s">
        <v>664</v>
      </c>
      <c r="J141" s="95"/>
    </row>
    <row r="142" spans="2:10" ht="15.6" x14ac:dyDescent="0.3">
      <c r="B142" s="387"/>
      <c r="C142" s="170"/>
      <c r="D142" s="170"/>
      <c r="E142" s="165"/>
      <c r="F142" s="210"/>
    </row>
    <row r="143" spans="2:10" ht="15.6" x14ac:dyDescent="0.3">
      <c r="B143" s="671"/>
      <c r="C143" s="664" t="s">
        <v>668</v>
      </c>
      <c r="D143" s="664"/>
      <c r="E143" s="664"/>
      <c r="F143" s="672">
        <f>SUM(F138:F142)</f>
        <v>-6589.4400000000005</v>
      </c>
    </row>
    <row r="144" spans="2:10" ht="15.6" x14ac:dyDescent="0.3">
      <c r="B144" s="387"/>
      <c r="C144" s="170" t="s">
        <v>669</v>
      </c>
      <c r="D144" s="170"/>
      <c r="E144" s="165"/>
      <c r="F144" s="210"/>
    </row>
    <row r="145" spans="2:10" ht="15.6" x14ac:dyDescent="0.3">
      <c r="B145" s="387">
        <v>45000</v>
      </c>
      <c r="C145" s="170" t="s">
        <v>673</v>
      </c>
      <c r="D145" s="170"/>
      <c r="E145" s="165"/>
      <c r="F145" s="210">
        <v>3000</v>
      </c>
      <c r="H145" s="800" t="s">
        <v>376</v>
      </c>
      <c r="J145" s="95"/>
    </row>
    <row r="146" spans="2:10" ht="15.6" x14ac:dyDescent="0.3">
      <c r="B146" s="387">
        <v>45224</v>
      </c>
      <c r="C146" s="170" t="s">
        <v>689</v>
      </c>
      <c r="D146" s="170"/>
      <c r="E146" s="165"/>
      <c r="F146" s="210">
        <v>1376</v>
      </c>
      <c r="H146" s="800" t="s">
        <v>376</v>
      </c>
      <c r="J146" s="95"/>
    </row>
    <row r="147" spans="2:10" ht="15.6" x14ac:dyDescent="0.3">
      <c r="B147" s="387"/>
      <c r="C147" s="170"/>
      <c r="D147" s="170"/>
      <c r="E147" s="165"/>
      <c r="F147" s="210"/>
    </row>
    <row r="148" spans="2:10" ht="15.6" x14ac:dyDescent="0.3">
      <c r="B148" s="795"/>
      <c r="C148" s="665" t="s">
        <v>670</v>
      </c>
      <c r="D148" s="665"/>
      <c r="E148" s="665"/>
      <c r="F148" s="672">
        <f>SUM(F145:F147)</f>
        <v>4376</v>
      </c>
    </row>
    <row r="149" spans="2:10" ht="16.2" thickBot="1" x14ac:dyDescent="0.35">
      <c r="B149" s="98">
        <f>'31 dec 2023'!C4</f>
        <v>45291</v>
      </c>
      <c r="C149" s="92" t="s">
        <v>2</v>
      </c>
      <c r="D149" s="92"/>
      <c r="E149" s="509"/>
      <c r="F149" s="99">
        <f>F136+F143+F148</f>
        <v>969.70999999999958</v>
      </c>
    </row>
    <row r="150" spans="2:10" ht="15.6" x14ac:dyDescent="0.3">
      <c r="B150" s="417"/>
      <c r="C150" s="8"/>
      <c r="D150" s="8"/>
      <c r="E150" s="12"/>
      <c r="F150" s="202"/>
    </row>
    <row r="151" spans="2:10" ht="13.8" thickBot="1" x14ac:dyDescent="0.3"/>
    <row r="152" spans="2:10" ht="15.6" x14ac:dyDescent="0.3">
      <c r="B152" s="223" t="s">
        <v>226</v>
      </c>
      <c r="C152" s="182"/>
      <c r="D152" s="182"/>
      <c r="E152" s="397" t="s">
        <v>141</v>
      </c>
      <c r="F152" s="394"/>
    </row>
    <row r="153" spans="2:10" ht="1.8" customHeight="1" thickBot="1" x14ac:dyDescent="0.35">
      <c r="B153" s="98">
        <v>44196</v>
      </c>
      <c r="C153" s="92" t="s">
        <v>2</v>
      </c>
      <c r="D153" s="92"/>
      <c r="E153" s="509"/>
      <c r="F153" s="99">
        <v>2274.85</v>
      </c>
    </row>
    <row r="154" spans="2:10" ht="1.8" hidden="1" customHeight="1" x14ac:dyDescent="0.3">
      <c r="B154" s="387"/>
      <c r="C154" s="170" t="s">
        <v>590</v>
      </c>
      <c r="D154" s="170"/>
      <c r="E154" s="165"/>
      <c r="F154" s="210"/>
    </row>
    <row r="155" spans="2:10" ht="15.6" hidden="1" x14ac:dyDescent="0.3">
      <c r="B155" s="387">
        <v>44392</v>
      </c>
      <c r="C155" s="170" t="s">
        <v>614</v>
      </c>
      <c r="D155" s="170"/>
      <c r="E155" s="165"/>
      <c r="F155" s="210">
        <v>-2250</v>
      </c>
      <c r="H155" s="425" t="s">
        <v>634</v>
      </c>
    </row>
    <row r="156" spans="2:10" ht="15.6" hidden="1" x14ac:dyDescent="0.3">
      <c r="B156" s="387"/>
      <c r="C156" s="170"/>
      <c r="D156" s="170"/>
      <c r="E156" s="165"/>
      <c r="F156" s="210"/>
    </row>
    <row r="157" spans="2:10" ht="15.6" hidden="1" x14ac:dyDescent="0.3">
      <c r="B157" s="387"/>
      <c r="C157" s="170"/>
      <c r="D157" s="170"/>
      <c r="E157" s="165"/>
      <c r="F157" s="210"/>
    </row>
    <row r="158" spans="2:10" ht="16.2" hidden="1" thickBot="1" x14ac:dyDescent="0.35">
      <c r="B158" s="592"/>
      <c r="C158" s="593" t="s">
        <v>589</v>
      </c>
      <c r="D158" s="740"/>
      <c r="E158" s="594"/>
      <c r="F158" s="741">
        <f>SUM(F155:F157)</f>
        <v>-2250</v>
      </c>
    </row>
    <row r="159" spans="2:10" ht="15.6" hidden="1" x14ac:dyDescent="0.3">
      <c r="B159" s="589"/>
      <c r="C159" s="590" t="s">
        <v>591</v>
      </c>
      <c r="D159" s="590"/>
      <c r="E159" s="591"/>
      <c r="F159" s="750"/>
    </row>
    <row r="160" spans="2:10" ht="15.6" hidden="1" x14ac:dyDescent="0.3">
      <c r="B160" s="387">
        <v>44293</v>
      </c>
      <c r="C160" s="170" t="s">
        <v>602</v>
      </c>
      <c r="D160" s="170"/>
      <c r="E160" s="165"/>
      <c r="F160" s="742">
        <v>351.03</v>
      </c>
      <c r="H160" t="s">
        <v>376</v>
      </c>
    </row>
    <row r="161" spans="2:10" ht="15.6" hidden="1" x14ac:dyDescent="0.3">
      <c r="B161" s="387"/>
      <c r="C161" s="170"/>
      <c r="D161" s="170"/>
      <c r="E161" s="165"/>
      <c r="F161" s="742"/>
    </row>
    <row r="162" spans="2:10" ht="15.6" hidden="1" x14ac:dyDescent="0.3">
      <c r="B162" s="671"/>
      <c r="C162" s="665" t="s">
        <v>592</v>
      </c>
      <c r="D162" s="665"/>
      <c r="E162" s="666"/>
      <c r="F162" s="743">
        <f>SUM(F159:F160)</f>
        <v>351.03</v>
      </c>
    </row>
    <row r="163" spans="2:10" ht="16.2" thickBot="1" x14ac:dyDescent="0.35">
      <c r="B163" s="98">
        <v>44561</v>
      </c>
      <c r="C163" s="92" t="s">
        <v>2</v>
      </c>
      <c r="D163" s="92"/>
      <c r="E163" s="509"/>
      <c r="F163" s="99">
        <f>F153+F158+F162</f>
        <v>375.87999999999988</v>
      </c>
    </row>
    <row r="164" spans="2:10" ht="15.6" x14ac:dyDescent="0.3">
      <c r="B164" s="387"/>
      <c r="C164" s="170" t="s">
        <v>635</v>
      </c>
      <c r="D164" s="170"/>
      <c r="E164" s="165"/>
      <c r="F164" s="210"/>
    </row>
    <row r="165" spans="2:10" ht="15.6" x14ac:dyDescent="0.3">
      <c r="B165" s="387"/>
      <c r="C165" s="170"/>
      <c r="D165" s="170"/>
      <c r="E165" s="165"/>
      <c r="F165" s="210"/>
      <c r="H165" s="800" t="s">
        <v>376</v>
      </c>
    </row>
    <row r="166" spans="2:10" ht="15.6" x14ac:dyDescent="0.3">
      <c r="B166" s="387" t="s">
        <v>636</v>
      </c>
      <c r="C166" s="170"/>
      <c r="D166" s="170"/>
      <c r="E166" s="165"/>
      <c r="F166" s="210"/>
    </row>
    <row r="167" spans="2:10" ht="15.6" x14ac:dyDescent="0.3">
      <c r="B167" s="671"/>
      <c r="C167" s="664" t="s">
        <v>637</v>
      </c>
      <c r="D167" s="664"/>
      <c r="E167" s="664"/>
      <c r="F167" s="760">
        <f>SUM(F166:F166)</f>
        <v>0</v>
      </c>
    </row>
    <row r="168" spans="2:10" ht="15.6" x14ac:dyDescent="0.3">
      <c r="B168" s="387"/>
      <c r="C168" s="170" t="s">
        <v>638</v>
      </c>
      <c r="D168" s="170"/>
      <c r="E168" s="165"/>
      <c r="F168" s="210"/>
    </row>
    <row r="169" spans="2:10" ht="15.6" x14ac:dyDescent="0.3">
      <c r="B169" s="387">
        <v>44872</v>
      </c>
      <c r="C169" s="170" t="s">
        <v>655</v>
      </c>
      <c r="D169" s="170"/>
      <c r="E169" s="165"/>
      <c r="F169" s="210">
        <v>2274</v>
      </c>
      <c r="H169" s="800" t="s">
        <v>376</v>
      </c>
      <c r="I169" s="425"/>
    </row>
    <row r="170" spans="2:10" ht="15.6" x14ac:dyDescent="0.3">
      <c r="B170" s="387">
        <v>44879</v>
      </c>
      <c r="C170" s="170" t="s">
        <v>656</v>
      </c>
      <c r="D170" s="170"/>
      <c r="E170" s="165"/>
      <c r="F170" s="210">
        <v>200</v>
      </c>
      <c r="H170" s="800" t="s">
        <v>376</v>
      </c>
    </row>
    <row r="171" spans="2:10" ht="15.6" x14ac:dyDescent="0.3">
      <c r="B171" s="387"/>
      <c r="C171" s="170"/>
      <c r="D171" s="170"/>
      <c r="E171" s="165"/>
      <c r="F171" s="210"/>
    </row>
    <row r="172" spans="2:10" ht="15.6" x14ac:dyDescent="0.3">
      <c r="B172" s="795"/>
      <c r="C172" s="665" t="s">
        <v>639</v>
      </c>
      <c r="D172" s="665"/>
      <c r="E172" s="665"/>
      <c r="F172" s="672">
        <f>SUM(F169:F171)</f>
        <v>2474</v>
      </c>
    </row>
    <row r="173" spans="2:10" ht="16.2" thickBot="1" x14ac:dyDescent="0.35">
      <c r="B173" s="98">
        <v>44926</v>
      </c>
      <c r="C173" s="92" t="s">
        <v>2</v>
      </c>
      <c r="D173" s="92"/>
      <c r="E173" s="509"/>
      <c r="F173" s="99">
        <v>2849.88</v>
      </c>
      <c r="H173">
        <v>2849.88</v>
      </c>
    </row>
    <row r="174" spans="2:10" ht="15.6" x14ac:dyDescent="0.3">
      <c r="B174" s="589"/>
      <c r="C174" s="590" t="s">
        <v>667</v>
      </c>
      <c r="D174" s="590"/>
      <c r="E174" s="591"/>
      <c r="F174" s="449"/>
    </row>
    <row r="175" spans="2:10" ht="15.6" x14ac:dyDescent="0.3">
      <c r="B175" s="387">
        <v>45108</v>
      </c>
      <c r="C175" s="228" t="s">
        <v>707</v>
      </c>
      <c r="D175" s="228"/>
      <c r="E175" s="228"/>
      <c r="F175" s="820">
        <v>-2274</v>
      </c>
      <c r="J175" s="95"/>
    </row>
    <row r="176" spans="2:10" ht="15.6" x14ac:dyDescent="0.3">
      <c r="B176" s="387"/>
      <c r="C176" s="228" t="s">
        <v>708</v>
      </c>
      <c r="D176" s="228"/>
      <c r="E176" s="228"/>
      <c r="F176" s="228"/>
      <c r="J176" s="95"/>
    </row>
    <row r="177" spans="2:10" ht="15.6" x14ac:dyDescent="0.3">
      <c r="B177" s="671"/>
      <c r="C177" s="664" t="s">
        <v>668</v>
      </c>
      <c r="D177" s="664"/>
      <c r="E177" s="664"/>
      <c r="F177" s="672">
        <f>F175</f>
        <v>-2274</v>
      </c>
    </row>
    <row r="178" spans="2:10" ht="15.6" x14ac:dyDescent="0.3">
      <c r="B178" s="387"/>
      <c r="C178" s="170" t="s">
        <v>669</v>
      </c>
      <c r="D178" s="170"/>
      <c r="E178" s="165"/>
      <c r="F178" s="210"/>
    </row>
    <row r="179" spans="2:10" ht="15.6" x14ac:dyDescent="0.3">
      <c r="B179" s="387">
        <v>45078</v>
      </c>
      <c r="C179" s="170" t="s">
        <v>676</v>
      </c>
      <c r="D179" s="170"/>
      <c r="E179" s="165"/>
      <c r="F179" s="210">
        <v>14</v>
      </c>
      <c r="H179" s="800" t="s">
        <v>376</v>
      </c>
      <c r="J179" s="95"/>
    </row>
    <row r="180" spans="2:10" ht="15.6" x14ac:dyDescent="0.3">
      <c r="B180" s="387"/>
      <c r="C180" s="170"/>
      <c r="D180" s="170"/>
      <c r="E180" s="165"/>
      <c r="F180" s="210"/>
    </row>
    <row r="181" spans="2:10" ht="15.6" x14ac:dyDescent="0.3">
      <c r="B181" s="795"/>
      <c r="C181" s="665" t="s">
        <v>670</v>
      </c>
      <c r="D181" s="665"/>
      <c r="E181" s="665"/>
      <c r="F181" s="672">
        <f>SUM(F179:F180)</f>
        <v>14</v>
      </c>
    </row>
    <row r="182" spans="2:10" ht="16.2" thickBot="1" x14ac:dyDescent="0.35">
      <c r="B182" s="98">
        <f>B2</f>
        <v>45224</v>
      </c>
      <c r="C182" s="92" t="s">
        <v>2</v>
      </c>
      <c r="D182" s="92"/>
      <c r="E182" s="509"/>
      <c r="F182" s="99">
        <f>F173+F177+F181</f>
        <v>589.88000000000011</v>
      </c>
    </row>
    <row r="183" spans="2:10" ht="15.6" x14ac:dyDescent="0.3">
      <c r="B183" s="417"/>
      <c r="C183" s="8"/>
      <c r="D183" s="8"/>
      <c r="E183" s="12"/>
      <c r="F183" s="202"/>
    </row>
    <row r="184" spans="2:10" ht="12" customHeight="1" thickBot="1" x14ac:dyDescent="0.3"/>
    <row r="185" spans="2:10" ht="15.6" x14ac:dyDescent="0.3">
      <c r="B185" s="223" t="s">
        <v>593</v>
      </c>
      <c r="C185" s="182"/>
      <c r="D185" s="182"/>
      <c r="E185" s="397" t="s">
        <v>520</v>
      </c>
      <c r="F185" s="394"/>
    </row>
    <row r="186" spans="2:10" ht="0.6" customHeight="1" thickBot="1" x14ac:dyDescent="0.35">
      <c r="B186" s="98">
        <v>44196</v>
      </c>
      <c r="C186" s="92" t="s">
        <v>2</v>
      </c>
      <c r="D186" s="92"/>
      <c r="E186" s="509"/>
      <c r="F186" s="99">
        <v>-0.5</v>
      </c>
    </row>
    <row r="187" spans="2:10" ht="15.6" hidden="1" x14ac:dyDescent="0.3">
      <c r="B187" s="387"/>
      <c r="C187" s="170" t="s">
        <v>590</v>
      </c>
      <c r="D187" s="170"/>
      <c r="E187" s="165"/>
      <c r="F187" s="210"/>
    </row>
    <row r="188" spans="2:10" ht="15.6" hidden="1" x14ac:dyDescent="0.3">
      <c r="B188" s="387">
        <v>44245</v>
      </c>
      <c r="C188" s="170" t="s">
        <v>597</v>
      </c>
      <c r="D188" s="170"/>
      <c r="E188" s="165"/>
      <c r="F188" s="210">
        <v>-14.59</v>
      </c>
      <c r="H188" t="s">
        <v>376</v>
      </c>
    </row>
    <row r="189" spans="2:10" ht="15.6" hidden="1" x14ac:dyDescent="0.3">
      <c r="B189" s="387">
        <v>44280</v>
      </c>
      <c r="C189" s="170" t="s">
        <v>597</v>
      </c>
      <c r="D189" s="170"/>
      <c r="E189" s="165"/>
      <c r="F189" s="210">
        <v>-18.95</v>
      </c>
      <c r="H189" t="s">
        <v>376</v>
      </c>
    </row>
    <row r="190" spans="2:10" ht="15.6" hidden="1" x14ac:dyDescent="0.3">
      <c r="B190" s="387">
        <v>44281</v>
      </c>
      <c r="C190" s="170" t="s">
        <v>601</v>
      </c>
      <c r="D190" s="170"/>
      <c r="E190" s="165"/>
      <c r="F190" s="210">
        <v>-77.8</v>
      </c>
      <c r="H190" t="s">
        <v>376</v>
      </c>
    </row>
    <row r="191" spans="2:10" ht="15.6" hidden="1" x14ac:dyDescent="0.3">
      <c r="B191" s="387">
        <v>44308</v>
      </c>
      <c r="C191" s="170" t="s">
        <v>601</v>
      </c>
      <c r="D191" s="170"/>
      <c r="E191" s="165"/>
      <c r="F191" s="210">
        <v>-82.63</v>
      </c>
      <c r="H191" t="s">
        <v>376</v>
      </c>
    </row>
    <row r="192" spans="2:10" ht="15.6" hidden="1" x14ac:dyDescent="0.3">
      <c r="B192" s="387">
        <v>44312</v>
      </c>
      <c r="C192" s="170" t="s">
        <v>607</v>
      </c>
      <c r="D192" s="170"/>
      <c r="E192" s="165"/>
      <c r="F192" s="210">
        <v>-10</v>
      </c>
      <c r="H192" t="s">
        <v>376</v>
      </c>
      <c r="I192" s="226" t="s">
        <v>608</v>
      </c>
    </row>
    <row r="193" spans="2:8" ht="15.6" hidden="1" x14ac:dyDescent="0.3">
      <c r="B193" s="387">
        <v>44312</v>
      </c>
      <c r="C193" s="170" t="s">
        <v>601</v>
      </c>
      <c r="D193" s="170"/>
      <c r="E193" s="165"/>
      <c r="F193" s="210">
        <v>-9.94</v>
      </c>
      <c r="H193" t="s">
        <v>376</v>
      </c>
    </row>
    <row r="194" spans="2:8" ht="15.6" hidden="1" x14ac:dyDescent="0.3">
      <c r="B194" s="387">
        <v>44320</v>
      </c>
      <c r="C194" s="170" t="s">
        <v>601</v>
      </c>
      <c r="D194" s="170"/>
      <c r="E194" s="165"/>
      <c r="F194" s="210">
        <v>-25</v>
      </c>
      <c r="H194" t="s">
        <v>376</v>
      </c>
    </row>
    <row r="195" spans="2:8" ht="4.8" hidden="1" customHeight="1" x14ac:dyDescent="0.3">
      <c r="B195" s="387">
        <v>44471</v>
      </c>
      <c r="C195" s="170" t="s">
        <v>601</v>
      </c>
      <c r="D195" s="170"/>
      <c r="E195" s="165"/>
      <c r="F195" s="210">
        <v>-66.3</v>
      </c>
      <c r="H195" t="s">
        <v>376</v>
      </c>
    </row>
    <row r="196" spans="2:8" ht="15.6" hidden="1" x14ac:dyDescent="0.3">
      <c r="B196" s="387">
        <v>44502</v>
      </c>
      <c r="C196" s="170" t="s">
        <v>601</v>
      </c>
      <c r="D196" s="170"/>
      <c r="E196" s="165"/>
      <c r="F196" s="210">
        <v>-29.17</v>
      </c>
      <c r="H196" t="s">
        <v>376</v>
      </c>
    </row>
    <row r="197" spans="2:8" ht="15.6" hidden="1" x14ac:dyDescent="0.3">
      <c r="B197" s="387">
        <v>44503</v>
      </c>
      <c r="C197" s="170" t="s">
        <v>601</v>
      </c>
      <c r="D197" s="170"/>
      <c r="E197" s="165"/>
      <c r="F197" s="210">
        <v>-97.25</v>
      </c>
      <c r="H197" t="s">
        <v>376</v>
      </c>
    </row>
    <row r="198" spans="2:8" ht="15.6" hidden="1" x14ac:dyDescent="0.3">
      <c r="B198" s="387">
        <v>44509</v>
      </c>
      <c r="C198" s="170" t="s">
        <v>601</v>
      </c>
      <c r="D198" s="170"/>
      <c r="E198" s="165"/>
      <c r="F198" s="210">
        <v>-106.97</v>
      </c>
      <c r="H198" t="s">
        <v>376</v>
      </c>
    </row>
    <row r="199" spans="2:8" ht="15.6" hidden="1" x14ac:dyDescent="0.3">
      <c r="B199" s="387"/>
      <c r="C199" s="170"/>
      <c r="D199" s="170"/>
      <c r="E199" s="165"/>
      <c r="F199" s="210"/>
    </row>
    <row r="200" spans="2:8" ht="16.2" hidden="1" thickBot="1" x14ac:dyDescent="0.35">
      <c r="B200" s="592"/>
      <c r="C200" s="593" t="s">
        <v>589</v>
      </c>
      <c r="D200" s="740"/>
      <c r="E200" s="594"/>
      <c r="F200" s="595">
        <f>SUM(F188:F198)</f>
        <v>-538.6</v>
      </c>
    </row>
    <row r="201" spans="2:8" ht="15.6" hidden="1" x14ac:dyDescent="0.3">
      <c r="B201" s="589"/>
      <c r="C201" s="590" t="s">
        <v>591</v>
      </c>
      <c r="D201" s="590"/>
      <c r="E201" s="591"/>
      <c r="F201" s="750"/>
    </row>
    <row r="202" spans="2:8" ht="15.6" hidden="1" x14ac:dyDescent="0.3">
      <c r="B202" s="387">
        <v>44245</v>
      </c>
      <c r="C202" s="170" t="s">
        <v>347</v>
      </c>
      <c r="D202" s="170"/>
      <c r="E202" s="165"/>
      <c r="F202" s="210">
        <v>14.59</v>
      </c>
      <c r="H202" t="s">
        <v>376</v>
      </c>
    </row>
    <row r="203" spans="2:8" ht="15.6" hidden="1" x14ac:dyDescent="0.3">
      <c r="B203" s="387">
        <v>44280</v>
      </c>
      <c r="C203" s="170" t="s">
        <v>347</v>
      </c>
      <c r="D203" s="170"/>
      <c r="E203" s="165"/>
      <c r="F203" s="210">
        <v>19.45</v>
      </c>
      <c r="H203" t="s">
        <v>376</v>
      </c>
    </row>
    <row r="204" spans="2:8" ht="15.6" hidden="1" x14ac:dyDescent="0.3">
      <c r="B204" s="387">
        <v>44281</v>
      </c>
      <c r="C204" s="170" t="s">
        <v>347</v>
      </c>
      <c r="D204" s="170"/>
      <c r="E204" s="165"/>
      <c r="F204" s="210">
        <v>77.8</v>
      </c>
      <c r="H204" t="s">
        <v>376</v>
      </c>
    </row>
    <row r="205" spans="2:8" ht="15.6" hidden="1" x14ac:dyDescent="0.3">
      <c r="B205" s="387">
        <v>44277</v>
      </c>
      <c r="C205" s="170" t="s">
        <v>347</v>
      </c>
      <c r="D205" s="170"/>
      <c r="E205" s="165"/>
      <c r="F205" s="210">
        <v>82.63</v>
      </c>
      <c r="H205" t="s">
        <v>376</v>
      </c>
    </row>
    <row r="206" spans="2:8" ht="15.6" hidden="1" x14ac:dyDescent="0.3">
      <c r="B206" s="387">
        <v>44309</v>
      </c>
      <c r="C206" s="170" t="s">
        <v>347</v>
      </c>
      <c r="D206" s="170"/>
      <c r="E206" s="165"/>
      <c r="F206" s="210">
        <v>19.440000000000001</v>
      </c>
      <c r="H206" t="s">
        <v>376</v>
      </c>
    </row>
    <row r="207" spans="2:8" ht="15.6" hidden="1" x14ac:dyDescent="0.3">
      <c r="B207" s="387">
        <v>44314</v>
      </c>
      <c r="C207" s="170" t="s">
        <v>609</v>
      </c>
      <c r="D207" s="170"/>
      <c r="E207" s="165"/>
      <c r="F207" s="210">
        <v>20</v>
      </c>
      <c r="H207" t="s">
        <v>376</v>
      </c>
    </row>
    <row r="208" spans="2:8" ht="15.6" hidden="1" x14ac:dyDescent="0.3">
      <c r="B208" s="387">
        <v>44315</v>
      </c>
      <c r="C208" s="170" t="s">
        <v>610</v>
      </c>
      <c r="D208" s="170"/>
      <c r="E208" s="165"/>
      <c r="F208" s="210">
        <v>5</v>
      </c>
      <c r="H208" t="s">
        <v>376</v>
      </c>
    </row>
    <row r="209" spans="2:8" ht="15.6" hidden="1" x14ac:dyDescent="0.3">
      <c r="B209" s="387">
        <v>44320</v>
      </c>
      <c r="C209" s="170" t="s">
        <v>611</v>
      </c>
      <c r="D209" s="170"/>
      <c r="E209" s="165"/>
      <c r="F209" s="210">
        <v>10</v>
      </c>
      <c r="H209" t="s">
        <v>376</v>
      </c>
    </row>
    <row r="210" spans="2:8" ht="15.6" hidden="1" x14ac:dyDescent="0.3">
      <c r="B210" s="387">
        <v>44324</v>
      </c>
      <c r="C210" s="170" t="s">
        <v>612</v>
      </c>
      <c r="D210" s="170"/>
      <c r="E210" s="165"/>
      <c r="F210" s="210">
        <v>5</v>
      </c>
      <c r="H210" t="s">
        <v>376</v>
      </c>
    </row>
    <row r="211" spans="2:8" ht="15.6" hidden="1" x14ac:dyDescent="0.3">
      <c r="B211" s="387">
        <v>44471</v>
      </c>
      <c r="C211" s="170" t="s">
        <v>621</v>
      </c>
      <c r="D211" s="170"/>
      <c r="E211" s="165"/>
      <c r="F211" s="210">
        <v>76.28</v>
      </c>
      <c r="H211" t="s">
        <v>376</v>
      </c>
    </row>
    <row r="212" spans="2:8" ht="15.6" hidden="1" x14ac:dyDescent="0.3">
      <c r="B212" s="387">
        <v>44495</v>
      </c>
      <c r="C212" s="170" t="s">
        <v>621</v>
      </c>
      <c r="D212" s="170"/>
      <c r="E212" s="165"/>
      <c r="F212" s="210">
        <v>29.17</v>
      </c>
      <c r="H212" t="s">
        <v>376</v>
      </c>
    </row>
    <row r="213" spans="2:8" ht="15.6" hidden="1" x14ac:dyDescent="0.3">
      <c r="B213" s="387">
        <v>44497</v>
      </c>
      <c r="C213" s="170" t="s">
        <v>621</v>
      </c>
      <c r="D213" s="170"/>
      <c r="E213" s="165"/>
      <c r="F213" s="210">
        <v>97.25</v>
      </c>
      <c r="H213" t="s">
        <v>376</v>
      </c>
    </row>
    <row r="214" spans="2:8" ht="15.6" hidden="1" x14ac:dyDescent="0.3">
      <c r="B214" s="387">
        <v>44509</v>
      </c>
      <c r="C214" s="170" t="s">
        <v>621</v>
      </c>
      <c r="D214" s="170"/>
      <c r="E214" s="165"/>
      <c r="F214" s="210">
        <v>106.97</v>
      </c>
      <c r="H214" t="s">
        <v>376</v>
      </c>
    </row>
    <row r="215" spans="2:8" ht="15.6" hidden="1" x14ac:dyDescent="0.3">
      <c r="B215" s="387"/>
      <c r="C215" s="170"/>
      <c r="D215" s="170"/>
      <c r="E215" s="165"/>
      <c r="F215" s="210"/>
    </row>
    <row r="216" spans="2:8" ht="16.2" hidden="1" thickBot="1" x14ac:dyDescent="0.35">
      <c r="B216" s="671"/>
      <c r="C216" s="665" t="s">
        <v>592</v>
      </c>
      <c r="D216" s="665"/>
      <c r="E216" s="666"/>
      <c r="F216" s="595">
        <f>SUM(F202:F214)</f>
        <v>563.58000000000004</v>
      </c>
    </row>
    <row r="217" spans="2:8" ht="16.2" thickBot="1" x14ac:dyDescent="0.35">
      <c r="B217" s="98">
        <v>44561</v>
      </c>
      <c r="C217" s="92" t="s">
        <v>2</v>
      </c>
      <c r="D217" s="92"/>
      <c r="E217" s="509"/>
      <c r="F217" s="99">
        <f>F186+F200+F216</f>
        <v>24.480000000000018</v>
      </c>
    </row>
    <row r="218" spans="2:8" ht="15.6" x14ac:dyDescent="0.3">
      <c r="B218" s="387"/>
      <c r="C218" s="170" t="s">
        <v>635</v>
      </c>
      <c r="D218" s="170"/>
      <c r="E218" s="165"/>
      <c r="F218" s="210"/>
    </row>
    <row r="219" spans="2:8" ht="15.6" x14ac:dyDescent="0.3">
      <c r="B219" s="387">
        <v>44645</v>
      </c>
      <c r="C219" s="170" t="s">
        <v>642</v>
      </c>
      <c r="D219" s="170"/>
      <c r="E219" s="165"/>
      <c r="F219" s="210">
        <v>-19.45</v>
      </c>
    </row>
    <row r="220" spans="2:8" ht="15.6" x14ac:dyDescent="0.3">
      <c r="B220" s="387"/>
      <c r="C220" s="170" t="s">
        <v>643</v>
      </c>
      <c r="D220" s="170"/>
      <c r="E220" s="165"/>
      <c r="F220" s="210">
        <f>-24.48</f>
        <v>-24.48</v>
      </c>
    </row>
    <row r="221" spans="2:8" ht="15.6" x14ac:dyDescent="0.3">
      <c r="B221" s="387"/>
      <c r="C221" s="170"/>
      <c r="D221" s="170"/>
      <c r="E221" s="165"/>
      <c r="F221" s="210"/>
    </row>
    <row r="222" spans="2:8" ht="15.6" x14ac:dyDescent="0.3">
      <c r="B222" s="671"/>
      <c r="C222" s="664" t="s">
        <v>637</v>
      </c>
      <c r="D222" s="664"/>
      <c r="E222" s="664"/>
      <c r="F222" s="760">
        <f>SUM(F219:F221)</f>
        <v>-43.93</v>
      </c>
    </row>
    <row r="223" spans="2:8" ht="15.6" x14ac:dyDescent="0.3">
      <c r="B223" s="387"/>
      <c r="C223" s="170" t="s">
        <v>638</v>
      </c>
      <c r="D223" s="170"/>
      <c r="E223" s="165"/>
      <c r="F223" s="210"/>
    </row>
    <row r="224" spans="2:8" ht="15.6" x14ac:dyDescent="0.3">
      <c r="B224" s="387">
        <v>44644</v>
      </c>
      <c r="C224" s="170"/>
      <c r="D224" s="170"/>
      <c r="E224" s="165"/>
      <c r="F224" s="210">
        <v>19.45</v>
      </c>
    </row>
    <row r="225" spans="2:8" ht="15.6" x14ac:dyDescent="0.3">
      <c r="B225" s="387"/>
      <c r="C225" s="170"/>
      <c r="D225" s="170"/>
      <c r="E225" s="165"/>
      <c r="F225" s="210"/>
    </row>
    <row r="226" spans="2:8" ht="15.6" x14ac:dyDescent="0.3">
      <c r="B226" s="795"/>
      <c r="C226" s="665" t="s">
        <v>639</v>
      </c>
      <c r="D226" s="665"/>
      <c r="E226" s="665"/>
      <c r="F226" s="760">
        <f>SUM(F224)</f>
        <v>19.45</v>
      </c>
    </row>
    <row r="227" spans="2:8" ht="16.2" thickBot="1" x14ac:dyDescent="0.35">
      <c r="B227" s="98">
        <f>B2</f>
        <v>45224</v>
      </c>
      <c r="C227" s="92" t="s">
        <v>2</v>
      </c>
      <c r="D227" s="92"/>
      <c r="E227" s="509"/>
      <c r="F227" s="99">
        <f>F217+F222+F226</f>
        <v>0</v>
      </c>
    </row>
    <row r="228" spans="2:8" ht="15.6" x14ac:dyDescent="0.3">
      <c r="B228" s="796" t="s">
        <v>644</v>
      </c>
      <c r="C228" s="506"/>
      <c r="D228" s="506"/>
      <c r="E228" s="797"/>
      <c r="F228" s="539"/>
    </row>
    <row r="229" spans="2:8" ht="16.2" thickBot="1" x14ac:dyDescent="0.35">
      <c r="B229" s="796" t="s">
        <v>645</v>
      </c>
      <c r="C229" s="506"/>
      <c r="D229" s="506"/>
      <c r="E229" s="797"/>
      <c r="F229" s="539"/>
    </row>
    <row r="230" spans="2:8" ht="16.2" thickBot="1" x14ac:dyDescent="0.35">
      <c r="B230" s="702"/>
      <c r="C230" s="31"/>
      <c r="D230" s="31"/>
      <c r="E230" s="75"/>
      <c r="F230" s="703"/>
    </row>
    <row r="231" spans="2:8" ht="16.2" thickBot="1" x14ac:dyDescent="0.35">
      <c r="B231" s="660" t="s">
        <v>691</v>
      </c>
      <c r="C231" s="807"/>
      <c r="D231" s="807"/>
      <c r="E231" s="808" t="s">
        <v>692</v>
      </c>
      <c r="F231" s="809"/>
    </row>
    <row r="232" spans="2:8" ht="15.6" x14ac:dyDescent="0.3">
      <c r="B232" s="151">
        <v>44926</v>
      </c>
      <c r="C232" s="96" t="s">
        <v>2</v>
      </c>
      <c r="D232" s="96"/>
      <c r="E232" s="806"/>
      <c r="F232" s="152">
        <v>0</v>
      </c>
    </row>
    <row r="233" spans="2:8" ht="15.6" x14ac:dyDescent="0.3">
      <c r="B233" s="387"/>
      <c r="C233" s="170" t="s">
        <v>667</v>
      </c>
      <c r="D233" s="170"/>
      <c r="E233" s="763"/>
      <c r="F233" s="210"/>
    </row>
    <row r="234" spans="2:8" ht="15.6" x14ac:dyDescent="0.3">
      <c r="B234" s="387">
        <v>45120</v>
      </c>
      <c r="C234" s="170" t="s">
        <v>684</v>
      </c>
      <c r="D234" s="170"/>
      <c r="E234" s="165"/>
      <c r="F234" s="210">
        <v>-5000</v>
      </c>
      <c r="H234" s="7" t="s">
        <v>664</v>
      </c>
    </row>
    <row r="235" spans="2:8" ht="15.6" x14ac:dyDescent="0.3">
      <c r="B235" s="228">
        <v>45120</v>
      </c>
      <c r="C235" s="170" t="s">
        <v>697</v>
      </c>
      <c r="D235" s="170"/>
      <c r="E235" s="165"/>
      <c r="F235" s="217">
        <v>-140</v>
      </c>
    </row>
    <row r="236" spans="2:8" ht="15.6" x14ac:dyDescent="0.3">
      <c r="B236" s="387"/>
      <c r="C236" s="170"/>
      <c r="D236" s="170"/>
      <c r="E236" s="763"/>
      <c r="F236" s="210"/>
    </row>
    <row r="237" spans="2:8" ht="15.6" x14ac:dyDescent="0.3">
      <c r="B237" s="387">
        <v>45255</v>
      </c>
      <c r="C237" s="170" t="s">
        <v>698</v>
      </c>
      <c r="D237" s="170"/>
      <c r="E237" s="165"/>
      <c r="F237" s="210">
        <v>-1630.46</v>
      </c>
      <c r="H237" t="s">
        <v>376</v>
      </c>
    </row>
    <row r="238" spans="2:8" x14ac:dyDescent="0.25">
      <c r="B238" s="167"/>
      <c r="C238" s="168"/>
      <c r="D238" s="168"/>
      <c r="E238" s="168"/>
      <c r="F238" s="810"/>
    </row>
    <row r="239" spans="2:8" ht="16.2" thickBot="1" x14ac:dyDescent="0.35">
      <c r="B239" s="592"/>
      <c r="C239" s="805" t="s">
        <v>668</v>
      </c>
      <c r="D239" s="805"/>
      <c r="E239" s="805"/>
      <c r="F239" s="595">
        <f>SUM(F234:F238)</f>
        <v>-6770.46</v>
      </c>
    </row>
    <row r="240" spans="2:8" ht="15.6" x14ac:dyDescent="0.3">
      <c r="B240" s="416"/>
      <c r="C240" s="8" t="s">
        <v>669</v>
      </c>
      <c r="D240" s="8"/>
      <c r="E240" s="4"/>
      <c r="F240" s="418"/>
    </row>
    <row r="241" spans="2:9" ht="15.6" x14ac:dyDescent="0.3">
      <c r="B241" s="387">
        <v>45108</v>
      </c>
      <c r="C241" s="228" t="s">
        <v>707</v>
      </c>
      <c r="D241" s="228"/>
      <c r="E241" s="228"/>
      <c r="F241" s="820">
        <f>-F175</f>
        <v>2274</v>
      </c>
      <c r="H241" s="7" t="s">
        <v>709</v>
      </c>
    </row>
    <row r="242" spans="2:9" ht="15.6" x14ac:dyDescent="0.3">
      <c r="B242" s="387">
        <v>45115</v>
      </c>
      <c r="C242" s="170" t="s">
        <v>679</v>
      </c>
      <c r="D242" s="170"/>
      <c r="E242" s="165"/>
      <c r="F242" s="210">
        <v>1433</v>
      </c>
      <c r="H242" s="800" t="s">
        <v>376</v>
      </c>
      <c r="I242" s="425" t="s">
        <v>706</v>
      </c>
    </row>
    <row r="243" spans="2:9" ht="15.6" x14ac:dyDescent="0.3">
      <c r="B243" s="387">
        <v>45117</v>
      </c>
      <c r="C243" s="170" t="s">
        <v>680</v>
      </c>
      <c r="D243" s="170"/>
      <c r="E243" s="165"/>
      <c r="F243" s="210">
        <v>1433</v>
      </c>
      <c r="H243" s="800" t="s">
        <v>376</v>
      </c>
      <c r="I243" s="425" t="s">
        <v>706</v>
      </c>
    </row>
    <row r="244" spans="2:9" ht="15.6" x14ac:dyDescent="0.3">
      <c r="B244" s="387">
        <v>45216</v>
      </c>
      <c r="C244" s="170" t="s">
        <v>688</v>
      </c>
      <c r="D244" s="170"/>
      <c r="E244" s="165"/>
      <c r="F244" s="210">
        <v>5000</v>
      </c>
      <c r="H244" s="7" t="s">
        <v>376</v>
      </c>
    </row>
    <row r="245" spans="2:9" ht="15.6" x14ac:dyDescent="0.3">
      <c r="B245" s="387">
        <v>45216</v>
      </c>
      <c r="C245" s="170" t="s">
        <v>688</v>
      </c>
      <c r="D245" s="170"/>
      <c r="E245" s="165"/>
      <c r="F245" s="210">
        <v>487.49</v>
      </c>
      <c r="H245" s="7" t="s">
        <v>376</v>
      </c>
    </row>
    <row r="246" spans="2:9" ht="15.6" x14ac:dyDescent="0.3">
      <c r="B246" s="387">
        <v>45262</v>
      </c>
      <c r="C246" s="170" t="s">
        <v>694</v>
      </c>
      <c r="D246" s="170"/>
      <c r="E246" s="165"/>
      <c r="F246" s="210">
        <v>250</v>
      </c>
      <c r="H246" s="7" t="s">
        <v>376</v>
      </c>
    </row>
    <row r="247" spans="2:9" ht="15.6" x14ac:dyDescent="0.3">
      <c r="B247" s="387">
        <v>45280</v>
      </c>
      <c r="C247" s="170" t="s">
        <v>695</v>
      </c>
      <c r="D247" s="170"/>
      <c r="E247" s="165"/>
      <c r="F247" s="210">
        <v>200</v>
      </c>
      <c r="H247" s="7" t="s">
        <v>376</v>
      </c>
    </row>
    <row r="248" spans="2:9" ht="14.4" customHeight="1" x14ac:dyDescent="0.3">
      <c r="B248" s="387">
        <v>45287</v>
      </c>
      <c r="C248" s="170" t="s">
        <v>696</v>
      </c>
      <c r="D248" s="170"/>
      <c r="E248" s="165"/>
      <c r="F248" s="210">
        <v>2000</v>
      </c>
      <c r="H248" s="7" t="s">
        <v>376</v>
      </c>
    </row>
    <row r="249" spans="2:9" ht="14.4" customHeight="1" x14ac:dyDescent="0.3">
      <c r="B249" s="387">
        <v>45291</v>
      </c>
      <c r="C249" s="170" t="s">
        <v>693</v>
      </c>
      <c r="D249" s="170"/>
      <c r="E249" s="165"/>
      <c r="F249" s="210">
        <v>2000</v>
      </c>
      <c r="H249" s="7" t="s">
        <v>376</v>
      </c>
    </row>
    <row r="250" spans="2:9" ht="14.4" customHeight="1" x14ac:dyDescent="0.3">
      <c r="B250" s="795"/>
      <c r="C250" s="665" t="s">
        <v>670</v>
      </c>
      <c r="D250" s="665"/>
      <c r="E250" s="665"/>
      <c r="F250" s="762">
        <f>SUM(F241:F249)</f>
        <v>15077.49</v>
      </c>
    </row>
    <row r="251" spans="2:9" ht="14.4" customHeight="1" x14ac:dyDescent="0.3">
      <c r="B251" s="416"/>
      <c r="C251" s="8"/>
      <c r="D251" s="8"/>
      <c r="E251" s="12"/>
      <c r="F251" s="418"/>
    </row>
    <row r="252" spans="2:9" ht="14.4" customHeight="1" thickBot="1" x14ac:dyDescent="0.35">
      <c r="B252" s="98">
        <v>45224</v>
      </c>
      <c r="C252" s="92" t="s">
        <v>2</v>
      </c>
      <c r="D252" s="92"/>
      <c r="E252" s="509"/>
      <c r="F252" s="99">
        <f>F232+F239+F250</f>
        <v>8307.0299999999988</v>
      </c>
    </row>
    <row r="253" spans="2:9" ht="14.4" customHeight="1" x14ac:dyDescent="0.3">
      <c r="B253" s="416"/>
      <c r="C253" s="8"/>
      <c r="D253" s="8"/>
      <c r="E253" s="12"/>
      <c r="F253" s="418"/>
    </row>
    <row r="254" spans="2:9" ht="12.6" customHeight="1" thickBot="1" x14ac:dyDescent="0.35">
      <c r="B254" s="416"/>
      <c r="C254" s="8"/>
      <c r="D254" s="8"/>
      <c r="E254" s="12"/>
      <c r="F254" s="418"/>
    </row>
    <row r="255" spans="2:9" ht="15.6" x14ac:dyDescent="0.3">
      <c r="B255" s="223" t="s">
        <v>566</v>
      </c>
      <c r="C255" s="182"/>
      <c r="D255" s="182"/>
      <c r="E255" s="397" t="s">
        <v>243</v>
      </c>
      <c r="F255" s="394"/>
    </row>
    <row r="256" spans="2:9" ht="0.6" customHeight="1" x14ac:dyDescent="0.3">
      <c r="B256" s="105">
        <v>44196</v>
      </c>
      <c r="C256" s="227" t="s">
        <v>633</v>
      </c>
      <c r="D256" s="114"/>
      <c r="E256" s="227"/>
      <c r="F256" s="152">
        <f>'proj 2021'!F189</f>
        <v>1020.460000000009</v>
      </c>
    </row>
    <row r="257" spans="2:8" ht="15.6" hidden="1" x14ac:dyDescent="0.3">
      <c r="B257" s="729"/>
      <c r="C257" s="730" t="s">
        <v>595</v>
      </c>
      <c r="D257" s="664"/>
      <c r="E257" s="731"/>
      <c r="F257" s="672"/>
    </row>
    <row r="258" spans="2:8" ht="15.6" hidden="1" x14ac:dyDescent="0.3">
      <c r="B258" s="359"/>
      <c r="C258" s="211"/>
      <c r="D258" s="228"/>
      <c r="E258" s="217"/>
      <c r="F258" s="210"/>
    </row>
    <row r="259" spans="2:8" ht="15.6" hidden="1" x14ac:dyDescent="0.3">
      <c r="B259" s="754"/>
      <c r="C259" s="755" t="s">
        <v>596</v>
      </c>
      <c r="D259" s="756"/>
      <c r="E259" s="757"/>
      <c r="F259" s="758"/>
    </row>
    <row r="260" spans="2:8" ht="15.6" hidden="1" x14ac:dyDescent="0.3">
      <c r="B260" s="359">
        <v>44280</v>
      </c>
      <c r="C260" s="211" t="s">
        <v>599</v>
      </c>
      <c r="D260" s="228"/>
      <c r="E260" s="217"/>
      <c r="F260" s="210">
        <v>-200</v>
      </c>
    </row>
    <row r="261" spans="2:8" ht="15.6" hidden="1" x14ac:dyDescent="0.3">
      <c r="B261" s="754"/>
      <c r="C261" s="755"/>
      <c r="D261" s="756"/>
      <c r="E261" s="757"/>
      <c r="F261" s="758"/>
    </row>
    <row r="262" spans="2:8" ht="16.2" thickBot="1" x14ac:dyDescent="0.35">
      <c r="B262" s="732">
        <v>44926</v>
      </c>
      <c r="C262" s="733" t="s">
        <v>566</v>
      </c>
      <c r="D262" s="618"/>
      <c r="E262" s="734"/>
      <c r="F262" s="99">
        <f>'proj 2021'!F195</f>
        <v>820.46000000000902</v>
      </c>
    </row>
    <row r="263" spans="2:8" ht="15.6" x14ac:dyDescent="0.3">
      <c r="B263" s="729"/>
      <c r="C263" s="730" t="s">
        <v>671</v>
      </c>
      <c r="D263" s="664"/>
      <c r="E263" s="731"/>
      <c r="F263" s="672"/>
    </row>
    <row r="264" spans="2:8" ht="15.6" x14ac:dyDescent="0.3">
      <c r="B264" s="359"/>
      <c r="C264" s="211"/>
      <c r="D264" s="228"/>
      <c r="E264" s="217"/>
      <c r="F264" s="210"/>
    </row>
    <row r="265" spans="2:8" ht="15.6" x14ac:dyDescent="0.3">
      <c r="B265" s="754"/>
      <c r="C265" s="755" t="s">
        <v>672</v>
      </c>
      <c r="D265" s="756"/>
      <c r="E265" s="757"/>
      <c r="F265" s="758"/>
    </row>
    <row r="266" spans="2:8" ht="15.6" x14ac:dyDescent="0.3">
      <c r="B266" s="359"/>
      <c r="C266" s="211">
        <v>45005</v>
      </c>
      <c r="D266" s="228"/>
      <c r="E266" s="217"/>
      <c r="F266" s="210">
        <v>-100</v>
      </c>
      <c r="H266" s="7" t="s">
        <v>683</v>
      </c>
    </row>
    <row r="267" spans="2:8" ht="15.6" x14ac:dyDescent="0.3">
      <c r="B267" s="359"/>
      <c r="C267" s="211">
        <v>45102</v>
      </c>
      <c r="D267" s="228"/>
      <c r="E267" s="217"/>
      <c r="F267" s="210">
        <v>-50</v>
      </c>
      <c r="H267" s="7" t="s">
        <v>683</v>
      </c>
    </row>
    <row r="268" spans="2:8" ht="15.6" x14ac:dyDescent="0.3">
      <c r="B268" s="359"/>
      <c r="C268" s="211">
        <v>45290</v>
      </c>
      <c r="D268" s="228"/>
      <c r="E268" s="217"/>
      <c r="F268" s="210">
        <v>-62.73</v>
      </c>
      <c r="H268" s="116"/>
    </row>
    <row r="269" spans="2:8" ht="15.6" x14ac:dyDescent="0.3">
      <c r="B269" s="359"/>
      <c r="C269" s="211"/>
      <c r="D269" s="228"/>
      <c r="E269" s="217"/>
      <c r="F269" s="210"/>
    </row>
    <row r="270" spans="2:8" ht="15.6" x14ac:dyDescent="0.3">
      <c r="B270" s="754"/>
      <c r="C270" s="755" t="s">
        <v>713</v>
      </c>
      <c r="D270" s="756"/>
      <c r="E270" s="757"/>
      <c r="F270" s="758">
        <f>SUM(F266:F268)</f>
        <v>-212.73</v>
      </c>
    </row>
    <row r="271" spans="2:8" ht="16.2" thickBot="1" x14ac:dyDescent="0.35">
      <c r="B271" s="732">
        <v>45291</v>
      </c>
      <c r="C271" s="733" t="s">
        <v>566</v>
      </c>
      <c r="D271" s="618"/>
      <c r="E271" s="734"/>
      <c r="F271" s="99">
        <f>F262+F270</f>
        <v>607.730000000009</v>
      </c>
      <c r="H271" s="116"/>
    </row>
    <row r="272" spans="2:8" ht="15.6" x14ac:dyDescent="0.3">
      <c r="B272" s="204"/>
      <c r="C272" s="204"/>
      <c r="D272" s="417"/>
      <c r="E272" s="202"/>
      <c r="F272" s="202"/>
    </row>
    <row r="273" spans="2:6" ht="15.6" x14ac:dyDescent="0.3">
      <c r="B273" s="204"/>
      <c r="C273" s="204"/>
      <c r="D273" s="417"/>
      <c r="E273" s="202"/>
      <c r="F273" s="202"/>
    </row>
  </sheetData>
  <phoneticPr fontId="29" type="noConversion"/>
  <pageMargins left="0.70866141732283472" right="0.70866141732283472" top="0.74803149606299213" bottom="0.74803149606299213" header="0.31496062992125984" footer="0.31496062992125984"/>
  <pageSetup paperSize="9" scale="26" fitToWidth="2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084DE-101A-495D-A925-BA1F8BB7D136}">
  <dimension ref="A1:I47"/>
  <sheetViews>
    <sheetView workbookViewId="0">
      <selection activeCell="C5" sqref="C5"/>
    </sheetView>
  </sheetViews>
  <sheetFormatPr defaultRowHeight="13.2" x14ac:dyDescent="0.25"/>
  <cols>
    <col min="1" max="1" width="33.44140625" customWidth="1"/>
    <col min="2" max="2" width="6.33203125" customWidth="1"/>
    <col min="3" max="4" width="20" customWidth="1"/>
    <col min="5" max="5" width="6.5546875" customWidth="1"/>
    <col min="6" max="6" width="35" customWidth="1"/>
    <col min="7" max="7" width="7.88671875" customWidth="1"/>
    <col min="8" max="8" width="16" customWidth="1"/>
    <col min="9" max="9" width="17" customWidth="1"/>
  </cols>
  <sheetData>
    <row r="1" spans="1:9" ht="17.399999999999999" x14ac:dyDescent="0.3">
      <c r="A1" s="257" t="s">
        <v>168</v>
      </c>
      <c r="B1" s="258"/>
      <c r="C1" s="258"/>
      <c r="D1" s="258"/>
      <c r="E1" s="259"/>
      <c r="F1" s="260"/>
      <c r="G1" s="260"/>
      <c r="H1" s="260"/>
      <c r="I1" s="718"/>
    </row>
    <row r="2" spans="1:9" ht="23.4" thickBot="1" x14ac:dyDescent="0.45">
      <c r="A2" s="765" t="s">
        <v>658</v>
      </c>
      <c r="B2" s="8"/>
      <c r="C2" s="80" t="s">
        <v>701</v>
      </c>
      <c r="D2" s="8"/>
      <c r="E2" s="4"/>
      <c r="F2" s="285"/>
      <c r="G2" s="285"/>
      <c r="H2" s="285"/>
      <c r="I2" s="455"/>
    </row>
    <row r="3" spans="1:9" ht="15" x14ac:dyDescent="0.25">
      <c r="A3" s="269"/>
      <c r="B3" s="270"/>
      <c r="C3" s="270"/>
      <c r="D3" s="270"/>
      <c r="E3" s="271"/>
      <c r="F3" s="272"/>
      <c r="G3" s="272"/>
      <c r="H3" s="272"/>
      <c r="I3" s="453"/>
    </row>
    <row r="4" spans="1:9" ht="15.6" x14ac:dyDescent="0.3">
      <c r="A4" s="838" t="s">
        <v>659</v>
      </c>
      <c r="B4" s="839"/>
      <c r="C4" s="839"/>
      <c r="D4" s="839"/>
      <c r="E4" s="839"/>
      <c r="F4" s="839"/>
      <c r="G4" s="839"/>
      <c r="H4" s="839"/>
      <c r="I4" s="840"/>
    </row>
    <row r="5" spans="1:9" ht="15" x14ac:dyDescent="0.25">
      <c r="A5" s="279" t="s">
        <v>173</v>
      </c>
      <c r="B5" s="6"/>
      <c r="C5" s="6"/>
      <c r="D5" s="6"/>
      <c r="E5" s="4"/>
      <c r="F5" s="219" t="s">
        <v>174</v>
      </c>
      <c r="G5" s="219"/>
      <c r="H5" s="219"/>
      <c r="I5" s="454"/>
    </row>
    <row r="6" spans="1:9" ht="15" x14ac:dyDescent="0.25">
      <c r="A6" s="192"/>
      <c r="B6" s="7"/>
      <c r="C6" s="106">
        <v>44926</v>
      </c>
      <c r="D6" s="284">
        <v>44561</v>
      </c>
      <c r="E6" s="4"/>
      <c r="F6" s="285"/>
      <c r="G6" s="285"/>
      <c r="H6" s="220">
        <v>44926</v>
      </c>
      <c r="I6" s="286">
        <v>44561</v>
      </c>
    </row>
    <row r="7" spans="1:9" ht="15" x14ac:dyDescent="0.25">
      <c r="A7" s="192"/>
      <c r="B7" s="7"/>
      <c r="D7" s="7"/>
      <c r="E7" s="4"/>
      <c r="F7" s="285"/>
      <c r="G7" s="285"/>
      <c r="I7" s="51"/>
    </row>
    <row r="8" spans="1:9" ht="15" x14ac:dyDescent="0.25">
      <c r="A8" s="192" t="s">
        <v>522</v>
      </c>
      <c r="B8" s="7"/>
      <c r="C8" s="116">
        <f>'[1]31 dec 2020'!C13</f>
        <v>0</v>
      </c>
      <c r="D8" s="193">
        <v>0</v>
      </c>
      <c r="E8" s="4"/>
      <c r="F8" s="343" t="s">
        <v>631</v>
      </c>
      <c r="G8" s="343"/>
      <c r="H8" s="343">
        <f>-SUM(H10:H18)+H20</f>
        <v>820.46000000001004</v>
      </c>
      <c r="I8" s="456">
        <f>'[1]31 dec 2021'!G24</f>
        <v>820.46000000000902</v>
      </c>
    </row>
    <row r="9" spans="1:9" ht="15" x14ac:dyDescent="0.25">
      <c r="A9" s="192" t="s">
        <v>293</v>
      </c>
      <c r="B9" s="7"/>
      <c r="C9" s="116">
        <f>'[1]31 dec 2022'!A12</f>
        <v>6814.7800000000088</v>
      </c>
      <c r="D9" s="193">
        <f>'[1]jaarrekening 2021'!C9</f>
        <v>9805.36</v>
      </c>
      <c r="E9" s="4"/>
      <c r="F9" s="221"/>
      <c r="G9" s="221"/>
      <c r="I9" s="51"/>
    </row>
    <row r="10" spans="1:9" ht="15" x14ac:dyDescent="0.25">
      <c r="A10" s="365"/>
      <c r="C10" s="116"/>
      <c r="D10" s="193"/>
      <c r="E10" s="4"/>
      <c r="F10" s="221"/>
      <c r="G10" s="348"/>
      <c r="H10" s="773"/>
      <c r="I10" s="751"/>
    </row>
    <row r="11" spans="1:9" ht="15" x14ac:dyDescent="0.25">
      <c r="A11" s="23"/>
      <c r="C11" s="116"/>
      <c r="D11" s="193"/>
      <c r="E11" s="4"/>
      <c r="F11" s="221" t="str">
        <f>'[1]31 dec 2019'!E19</f>
        <v>*Reservering diversen</v>
      </c>
      <c r="G11" s="348">
        <f>'[1]31 dec 2019'!F19</f>
        <v>4</v>
      </c>
      <c r="H11" s="116">
        <f>'[1]31 dec 2022'!H12</f>
        <v>-38.710000000000036</v>
      </c>
      <c r="I11" s="194">
        <f>'[1]jaarrekening 2021'!H11</f>
        <v>80.7</v>
      </c>
    </row>
    <row r="12" spans="1:9" ht="15" x14ac:dyDescent="0.25">
      <c r="A12" s="192" t="s">
        <v>73</v>
      </c>
      <c r="B12" s="7"/>
      <c r="C12" s="116">
        <f>'[1]31 dec 2022'!A17</f>
        <v>10864.530000000002</v>
      </c>
      <c r="D12" s="193">
        <f>'[1]jaarrekening 2021'!C12</f>
        <v>12121.65</v>
      </c>
      <c r="E12" s="4"/>
      <c r="F12" s="221"/>
      <c r="G12" s="348"/>
      <c r="H12" s="422"/>
      <c r="I12" s="231"/>
    </row>
    <row r="13" spans="1:9" ht="15" x14ac:dyDescent="0.25">
      <c r="A13" s="365"/>
      <c r="B13" s="116"/>
      <c r="C13" s="193"/>
      <c r="E13" s="4"/>
      <c r="F13" s="221" t="str">
        <f>'[1]31 dec 2019'!E22</f>
        <v>*Te besteden 50 dingen boekje</v>
      </c>
      <c r="G13" s="348">
        <f>'[1]31 dec 2019'!F22</f>
        <v>7</v>
      </c>
      <c r="H13" s="193">
        <f>'[1]31 dec 2022'!H14</f>
        <v>10864.530000000002</v>
      </c>
      <c r="I13" s="231">
        <f>'[1]jaarrekening 2021'!H13</f>
        <v>12121.650000000001</v>
      </c>
    </row>
    <row r="14" spans="1:9" ht="15" x14ac:dyDescent="0.25">
      <c r="A14" s="23"/>
      <c r="E14" s="4"/>
      <c r="F14" s="221" t="str">
        <f>'[1]31 dec 2019'!E23</f>
        <v>*Basisonderwijs/st. Ronde Venen fonds</v>
      </c>
      <c r="G14" s="348">
        <f>'[1]31 dec 2019'!F23</f>
        <v>8</v>
      </c>
      <c r="H14" s="193">
        <f>'[1]31 dec 2022'!H16</f>
        <v>3183.1499999999996</v>
      </c>
      <c r="I14" s="231">
        <f>'[1]31 dec 2021'!H16</f>
        <v>8503.84</v>
      </c>
    </row>
    <row r="15" spans="1:9" ht="15" x14ac:dyDescent="0.25">
      <c r="A15" s="192"/>
      <c r="B15" s="7"/>
      <c r="C15" s="7"/>
      <c r="E15" s="4"/>
      <c r="F15" s="221"/>
      <c r="G15" s="348"/>
      <c r="H15" s="193"/>
      <c r="I15" s="231"/>
    </row>
    <row r="16" spans="1:9" ht="15" x14ac:dyDescent="0.25">
      <c r="A16" s="192"/>
      <c r="B16" s="7"/>
      <c r="C16" s="7"/>
      <c r="E16" s="4"/>
      <c r="F16" s="221"/>
      <c r="G16" s="348"/>
      <c r="H16" s="116"/>
      <c r="I16" s="194"/>
    </row>
    <row r="17" spans="1:9" ht="15" x14ac:dyDescent="0.25">
      <c r="A17" s="192"/>
      <c r="B17" s="7"/>
      <c r="C17" s="7"/>
      <c r="E17" s="4"/>
      <c r="F17" s="221" t="str">
        <f>'[1]31 dec 2019'!E27</f>
        <v>*Ontwikkeling NME (1)</v>
      </c>
      <c r="G17" s="348">
        <f>'[1]31 dec 2019'!F27</f>
        <v>12</v>
      </c>
      <c r="H17" s="116">
        <f>'[1]31 dec 2022'!H18</f>
        <v>2849.88</v>
      </c>
      <c r="I17" s="194">
        <f>'[1]jaarrekening 2021'!H17</f>
        <v>375.87999999999988</v>
      </c>
    </row>
    <row r="18" spans="1:9" ht="15" x14ac:dyDescent="0.25">
      <c r="A18" s="192"/>
      <c r="B18" s="7"/>
      <c r="C18" s="7"/>
      <c r="E18" s="4"/>
      <c r="F18" s="221" t="str">
        <f>'[1]31 dec 2019'!E28</f>
        <v>Izettle</v>
      </c>
      <c r="G18" s="348">
        <f>'[1]31 dec 2019'!F28</f>
        <v>13</v>
      </c>
      <c r="H18" s="116">
        <f>'[1]proj 2022'!F167</f>
        <v>0</v>
      </c>
      <c r="I18" s="194">
        <f>'[1]jaarrekening 2021'!H18</f>
        <v>24.480000000000018</v>
      </c>
    </row>
    <row r="19" spans="1:9" ht="15.6" thickBot="1" x14ac:dyDescent="0.3">
      <c r="A19" s="309"/>
      <c r="B19" s="310"/>
      <c r="C19" s="310"/>
      <c r="D19" s="215"/>
      <c r="E19" s="311"/>
      <c r="F19" s="319"/>
      <c r="G19" s="767"/>
      <c r="H19" s="195"/>
      <c r="I19" s="196"/>
    </row>
    <row r="20" spans="1:9" ht="15" x14ac:dyDescent="0.25">
      <c r="A20" s="406" t="s">
        <v>205</v>
      </c>
      <c r="B20" s="193"/>
      <c r="C20" s="193">
        <f>SUM(C8:C14)</f>
        <v>17679.310000000012</v>
      </c>
      <c r="D20" s="193">
        <f>SUM(D8:D13)</f>
        <v>21927.010000000002</v>
      </c>
      <c r="E20" s="4"/>
      <c r="F20" s="7"/>
      <c r="G20" s="7"/>
      <c r="H20" s="193">
        <f>C20</f>
        <v>17679.310000000012</v>
      </c>
      <c r="I20" s="231">
        <v>21927.010000000002</v>
      </c>
    </row>
    <row r="21" spans="1:9" ht="15" x14ac:dyDescent="0.25">
      <c r="A21" s="192"/>
      <c r="B21" s="7"/>
      <c r="C21" s="7"/>
      <c r="D21" s="7"/>
      <c r="E21" s="4"/>
      <c r="F21" s="193"/>
      <c r="G21" s="7"/>
      <c r="H21" s="7"/>
      <c r="I21" s="191"/>
    </row>
    <row r="22" spans="1:9" ht="15.6" thickBot="1" x14ac:dyDescent="0.3">
      <c r="A22" s="309" t="s">
        <v>412</v>
      </c>
      <c r="B22" s="215"/>
      <c r="C22" s="215"/>
      <c r="D22" s="195">
        <f>C20-D20</f>
        <v>-4247.6999999999898</v>
      </c>
      <c r="E22" s="311"/>
      <c r="F22" s="310"/>
      <c r="G22" s="310"/>
      <c r="H22" s="319"/>
      <c r="I22" s="579"/>
    </row>
    <row r="23" spans="1:9" ht="15.6" x14ac:dyDescent="0.3">
      <c r="A23" s="838"/>
      <c r="B23" s="839"/>
      <c r="C23" s="839"/>
      <c r="D23" s="839"/>
      <c r="E23" s="839"/>
      <c r="F23" s="839"/>
      <c r="G23" s="839"/>
      <c r="H23" s="839"/>
      <c r="I23" s="839"/>
    </row>
    <row r="24" spans="1:9" ht="13.8" x14ac:dyDescent="0.25">
      <c r="A24" s="321"/>
      <c r="B24" s="322"/>
      <c r="C24" s="322"/>
      <c r="D24" s="799"/>
      <c r="E24" s="324"/>
      <c r="F24" s="219"/>
      <c r="G24" s="219"/>
      <c r="H24" s="219"/>
      <c r="I24" s="219"/>
    </row>
    <row r="25" spans="1:9" x14ac:dyDescent="0.25">
      <c r="H25" s="116">
        <f>D22-H40</f>
        <v>1.0913936421275139E-11</v>
      </c>
    </row>
    <row r="26" spans="1:9" ht="13.8" thickBot="1" x14ac:dyDescent="0.3"/>
    <row r="27" spans="1:9" ht="15.6" x14ac:dyDescent="0.3">
      <c r="A27" s="841" t="s">
        <v>660</v>
      </c>
      <c r="B27" s="842"/>
      <c r="C27" s="842"/>
      <c r="D27" s="842"/>
      <c r="E27" s="842"/>
      <c r="F27" s="842"/>
      <c r="G27" s="842"/>
      <c r="H27" s="842"/>
      <c r="I27" s="843"/>
    </row>
    <row r="28" spans="1:9" ht="13.8" x14ac:dyDescent="0.25">
      <c r="A28" s="321" t="s">
        <v>175</v>
      </c>
      <c r="B28" s="322"/>
      <c r="C28" s="322"/>
      <c r="D28" s="322"/>
      <c r="E28" s="324"/>
      <c r="F28" s="219" t="s">
        <v>176</v>
      </c>
      <c r="G28" s="219"/>
      <c r="H28" s="219"/>
      <c r="I28" s="454"/>
    </row>
    <row r="29" spans="1:9" x14ac:dyDescent="0.25">
      <c r="A29" s="23"/>
      <c r="C29">
        <v>2022</v>
      </c>
      <c r="D29">
        <v>2021</v>
      </c>
      <c r="E29" s="224"/>
      <c r="H29">
        <v>2022</v>
      </c>
      <c r="I29">
        <v>2021</v>
      </c>
    </row>
    <row r="30" spans="1:9" ht="13.8" x14ac:dyDescent="0.25">
      <c r="A30" s="42"/>
      <c r="B30" s="1"/>
      <c r="F30" s="7"/>
      <c r="G30" s="1"/>
      <c r="H30" s="116"/>
      <c r="I30" s="116"/>
    </row>
    <row r="31" spans="1:9" x14ac:dyDescent="0.25">
      <c r="A31" s="192" t="s">
        <v>67</v>
      </c>
      <c r="B31" s="7" t="s">
        <v>112</v>
      </c>
      <c r="C31">
        <f>'[1]jaarekening 2022'!F62</f>
        <v>0</v>
      </c>
      <c r="D31" s="116"/>
      <c r="E31" s="7"/>
      <c r="F31" s="7" t="s">
        <v>211</v>
      </c>
      <c r="G31" s="7" t="s">
        <v>112</v>
      </c>
      <c r="H31" s="116">
        <f>'[1]proj 2022'!F39</f>
        <v>-119.41000000000001</v>
      </c>
      <c r="I31" s="116">
        <v>-119.40000000000002</v>
      </c>
    </row>
    <row r="32" spans="1:9" x14ac:dyDescent="0.25">
      <c r="A32" s="192"/>
      <c r="B32" s="7"/>
      <c r="D32" s="116"/>
      <c r="E32" s="7"/>
      <c r="F32" s="7" t="str">
        <f>'[1]project 2020'!B41</f>
        <v>Herinrichting Ruimte</v>
      </c>
      <c r="G32" s="7" t="s">
        <v>585</v>
      </c>
      <c r="H32" s="116"/>
      <c r="I32" s="116"/>
    </row>
    <row r="33" spans="1:9" x14ac:dyDescent="0.25">
      <c r="A33" s="25" t="s">
        <v>83</v>
      </c>
      <c r="B33" t="s">
        <v>115</v>
      </c>
      <c r="C33" s="193">
        <v>1.28</v>
      </c>
      <c r="D33" s="116">
        <v>11.53</v>
      </c>
      <c r="E33" s="7"/>
      <c r="F33" s="7" t="s">
        <v>83</v>
      </c>
      <c r="G33" t="s">
        <v>115</v>
      </c>
      <c r="H33" s="116">
        <f>'[1]proj 2022'!F68</f>
        <v>-1258.3999999999999</v>
      </c>
      <c r="I33" s="116">
        <v>-889.41</v>
      </c>
    </row>
    <row r="34" spans="1:9" x14ac:dyDescent="0.25">
      <c r="A34" s="192" t="s">
        <v>88</v>
      </c>
      <c r="B34" t="s">
        <v>116</v>
      </c>
      <c r="C34" s="193">
        <f>'[1]proj 2022'!F98</f>
        <v>187.07</v>
      </c>
      <c r="D34" s="116">
        <v>8371.84</v>
      </c>
      <c r="E34" s="7"/>
      <c r="F34" s="284" t="s">
        <v>153</v>
      </c>
      <c r="G34" t="s">
        <v>116</v>
      </c>
      <c r="H34" s="116">
        <f>'[1]proj 2022'!F94</f>
        <v>-5507.76</v>
      </c>
      <c r="I34" s="116">
        <v>-1118</v>
      </c>
    </row>
    <row r="35" spans="1:9" x14ac:dyDescent="0.25">
      <c r="A35" s="192"/>
      <c r="C35" s="116"/>
      <c r="D35" s="116"/>
      <c r="E35" s="7"/>
      <c r="F35" s="284"/>
      <c r="H35" s="106"/>
      <c r="I35" s="106"/>
    </row>
    <row r="36" spans="1:9" x14ac:dyDescent="0.25">
      <c r="A36" s="344" t="s">
        <v>226</v>
      </c>
      <c r="B36" t="s">
        <v>141</v>
      </c>
      <c r="C36" s="193">
        <f>'[1]proj 2022'!F122</f>
        <v>2474</v>
      </c>
      <c r="D36" s="116">
        <v>351.03</v>
      </c>
      <c r="E36" s="7"/>
      <c r="F36" s="7" t="s">
        <v>226</v>
      </c>
      <c r="G36" s="7" t="s">
        <v>141</v>
      </c>
      <c r="H36" s="116">
        <f>'[1]proj 2022'!F117</f>
        <v>0</v>
      </c>
      <c r="I36" s="116">
        <v>-2250</v>
      </c>
    </row>
    <row r="37" spans="1:9" x14ac:dyDescent="0.25">
      <c r="A37" s="344" t="s">
        <v>518</v>
      </c>
      <c r="B37" s="7" t="s">
        <v>520</v>
      </c>
      <c r="C37" s="116">
        <f>'[1]proj 2022'!F166</f>
        <v>19.45</v>
      </c>
      <c r="D37" s="116">
        <v>563.58000000000004</v>
      </c>
      <c r="E37" s="221"/>
      <c r="F37" t="str">
        <f>'[1]31 dec 2019'!E28</f>
        <v>Izettle</v>
      </c>
      <c r="G37" s="7" t="s">
        <v>520</v>
      </c>
      <c r="H37" s="116">
        <f>'[1]proj 2022'!F162</f>
        <v>-43.93</v>
      </c>
      <c r="I37" s="116">
        <v>-538.6</v>
      </c>
    </row>
    <row r="38" spans="1:9" x14ac:dyDescent="0.25">
      <c r="A38" s="768"/>
      <c r="B38" s="641"/>
      <c r="D38" s="641"/>
      <c r="E38" s="298"/>
      <c r="F38" s="295"/>
      <c r="G38" s="295"/>
      <c r="H38" s="295"/>
      <c r="I38" s="295"/>
    </row>
    <row r="39" spans="1:9" ht="15.6" x14ac:dyDescent="0.3">
      <c r="A39" s="769" t="s">
        <v>219</v>
      </c>
      <c r="B39" s="646"/>
      <c r="C39" s="647">
        <f>SUM(C31:C38)</f>
        <v>2681.7999999999997</v>
      </c>
      <c r="D39" s="647">
        <v>9297.9800000000014</v>
      </c>
      <c r="E39" s="648"/>
      <c r="F39" s="646" t="s">
        <v>218</v>
      </c>
      <c r="G39" s="646"/>
      <c r="H39" s="649">
        <f>SUM(H30:H37)</f>
        <v>-6929.5</v>
      </c>
      <c r="I39" s="649">
        <v>-4915.41</v>
      </c>
    </row>
    <row r="40" spans="1:9" ht="15.6" x14ac:dyDescent="0.3">
      <c r="A40" s="23"/>
      <c r="E40" s="221"/>
      <c r="F40" s="346" t="s">
        <v>661</v>
      </c>
      <c r="G40" s="346"/>
      <c r="H40" s="347">
        <f>C39+H39</f>
        <v>-4247.7000000000007</v>
      </c>
      <c r="I40" s="582"/>
    </row>
    <row r="41" spans="1:9" ht="13.8" x14ac:dyDescent="0.25">
      <c r="A41" s="192"/>
      <c r="C41" s="116"/>
      <c r="E41" s="221"/>
      <c r="F41" s="1" t="s">
        <v>629</v>
      </c>
      <c r="G41" s="1"/>
      <c r="H41" s="629"/>
      <c r="I41" s="771">
        <f>D39+I39</f>
        <v>4382.5700000000015</v>
      </c>
    </row>
    <row r="42" spans="1:9" x14ac:dyDescent="0.25">
      <c r="A42" s="768"/>
      <c r="B42" s="641"/>
      <c r="C42" s="641"/>
      <c r="D42" s="296"/>
      <c r="E42" s="298"/>
      <c r="F42" s="641"/>
      <c r="G42" s="641"/>
      <c r="H42" s="641"/>
      <c r="I42" s="772"/>
    </row>
    <row r="43" spans="1:9" ht="13.8" x14ac:dyDescent="0.25">
      <c r="A43" s="42"/>
      <c r="B43" s="1"/>
      <c r="C43" s="1"/>
      <c r="D43" s="1"/>
      <c r="E43" s="324"/>
      <c r="H43" s="116"/>
      <c r="I43" s="194"/>
    </row>
    <row r="44" spans="1:9" ht="15" x14ac:dyDescent="0.25">
      <c r="A44" s="844" t="s">
        <v>200</v>
      </c>
      <c r="B44" s="845"/>
      <c r="C44" s="845"/>
      <c r="D44" s="845"/>
      <c r="E44" s="845"/>
      <c r="F44" s="845"/>
      <c r="G44" s="845"/>
      <c r="H44" s="845"/>
      <c r="I44" s="846"/>
    </row>
    <row r="45" spans="1:9" ht="13.8" x14ac:dyDescent="0.25">
      <c r="A45" s="337"/>
      <c r="B45" s="338"/>
      <c r="C45" s="338"/>
      <c r="D45" s="338"/>
      <c r="E45" s="324"/>
      <c r="I45" s="51"/>
    </row>
    <row r="46" spans="1:9" x14ac:dyDescent="0.25">
      <c r="A46" s="847" t="s">
        <v>201</v>
      </c>
      <c r="B46" s="848"/>
      <c r="C46" s="848"/>
      <c r="D46" s="848"/>
      <c r="E46" s="848"/>
      <c r="F46" s="848"/>
      <c r="G46" s="848"/>
      <c r="H46" s="848"/>
      <c r="I46" s="849"/>
    </row>
    <row r="47" spans="1:9" ht="14.4" thickBot="1" x14ac:dyDescent="0.3">
      <c r="A47" s="339"/>
      <c r="B47" s="340"/>
      <c r="C47" s="340"/>
      <c r="D47" s="340"/>
      <c r="E47" s="342"/>
      <c r="F47" s="215"/>
      <c r="G47" s="215"/>
      <c r="H47" s="215"/>
      <c r="I47" s="216"/>
    </row>
  </sheetData>
  <mergeCells count="5">
    <mergeCell ref="A4:I4"/>
    <mergeCell ref="A23:I23"/>
    <mergeCell ref="A27:I27"/>
    <mergeCell ref="A44:I44"/>
    <mergeCell ref="A46:I4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7"/>
  <sheetViews>
    <sheetView topLeftCell="A18" workbookViewId="0">
      <selection activeCell="H42" sqref="H42"/>
    </sheetView>
  </sheetViews>
  <sheetFormatPr defaultRowHeight="13.2" x14ac:dyDescent="0.25"/>
  <cols>
    <col min="1" max="1" width="33.44140625" customWidth="1"/>
    <col min="2" max="2" width="6.33203125" customWidth="1"/>
    <col min="3" max="4" width="20" customWidth="1"/>
    <col min="5" max="5" width="6.5546875" customWidth="1"/>
    <col min="6" max="6" width="35" customWidth="1"/>
    <col min="7" max="7" width="7.88671875" customWidth="1"/>
    <col min="8" max="8" width="16" customWidth="1"/>
    <col min="9" max="9" width="17" customWidth="1"/>
    <col min="11" max="11" width="11.77734375" bestFit="1" customWidth="1"/>
  </cols>
  <sheetData>
    <row r="1" spans="1:9" ht="17.399999999999999" x14ac:dyDescent="0.3">
      <c r="A1" s="257" t="s">
        <v>168</v>
      </c>
      <c r="B1" s="258"/>
      <c r="C1" s="258"/>
      <c r="D1" s="258"/>
      <c r="E1" s="259"/>
      <c r="F1" s="260"/>
      <c r="G1" s="260"/>
      <c r="H1" s="260"/>
      <c r="I1" s="718"/>
    </row>
    <row r="2" spans="1:9" ht="21.6" thickBot="1" x14ac:dyDescent="0.45">
      <c r="A2" s="765" t="s">
        <v>658</v>
      </c>
      <c r="B2" s="8"/>
      <c r="C2" s="170" t="s">
        <v>666</v>
      </c>
      <c r="D2" s="170"/>
      <c r="E2" s="763"/>
      <c r="F2" s="764"/>
      <c r="G2" s="764"/>
      <c r="H2" s="764"/>
      <c r="I2" s="766"/>
    </row>
    <row r="3" spans="1:9" ht="15" x14ac:dyDescent="0.25">
      <c r="A3" s="269"/>
      <c r="B3" s="270"/>
      <c r="C3" s="270"/>
      <c r="D3" s="270"/>
      <c r="E3" s="271"/>
      <c r="F3" s="272"/>
      <c r="G3" s="272"/>
      <c r="H3" s="272"/>
      <c r="I3" s="453"/>
    </row>
    <row r="4" spans="1:9" ht="15.6" x14ac:dyDescent="0.3">
      <c r="A4" s="838" t="s">
        <v>659</v>
      </c>
      <c r="B4" s="839"/>
      <c r="C4" s="839"/>
      <c r="D4" s="839"/>
      <c r="E4" s="839"/>
      <c r="F4" s="839"/>
      <c r="G4" s="839"/>
      <c r="H4" s="839"/>
      <c r="I4" s="840"/>
    </row>
    <row r="5" spans="1:9" ht="15" x14ac:dyDescent="0.25">
      <c r="A5" s="279" t="s">
        <v>173</v>
      </c>
      <c r="B5" s="6"/>
      <c r="C5" s="6"/>
      <c r="D5" s="6"/>
      <c r="E5" s="4"/>
      <c r="F5" s="219" t="s">
        <v>174</v>
      </c>
      <c r="G5" s="219"/>
      <c r="H5" s="219"/>
      <c r="I5" s="454"/>
    </row>
    <row r="6" spans="1:9" ht="15" x14ac:dyDescent="0.25">
      <c r="A6" s="192"/>
      <c r="B6" s="7"/>
      <c r="C6" s="106">
        <v>44926</v>
      </c>
      <c r="D6" s="284">
        <v>44561</v>
      </c>
      <c r="E6" s="4"/>
      <c r="F6" s="285"/>
      <c r="G6" s="285"/>
      <c r="H6" s="220">
        <v>44926</v>
      </c>
      <c r="I6" s="286">
        <v>44561</v>
      </c>
    </row>
    <row r="7" spans="1:9" ht="15" x14ac:dyDescent="0.25">
      <c r="A7" s="192"/>
      <c r="B7" s="7"/>
      <c r="D7" s="7"/>
      <c r="E7" s="4"/>
      <c r="F7" s="285"/>
      <c r="G7" s="285"/>
      <c r="I7" s="51"/>
    </row>
    <row r="8" spans="1:9" ht="15" x14ac:dyDescent="0.25">
      <c r="A8" s="192" t="s">
        <v>522</v>
      </c>
      <c r="B8" s="7"/>
      <c r="C8" s="116">
        <f>'31 dec 2020'!C13</f>
        <v>0</v>
      </c>
      <c r="D8" s="193">
        <v>0</v>
      </c>
      <c r="E8" s="4"/>
      <c r="F8" s="343" t="s">
        <v>631</v>
      </c>
      <c r="G8" s="343"/>
      <c r="H8" s="343">
        <f>-SUM(H10:H18)+H20</f>
        <v>8914.7600000000093</v>
      </c>
      <c r="I8" s="456">
        <f>'31 dec 2021'!G24</f>
        <v>820.46000000000902</v>
      </c>
    </row>
    <row r="9" spans="1:9" ht="15" x14ac:dyDescent="0.25">
      <c r="A9" s="192" t="s">
        <v>293</v>
      </c>
      <c r="B9" s="7"/>
      <c r="C9" s="116">
        <f>'31 dec 2023'!A12</f>
        <v>10474.350000000008</v>
      </c>
      <c r="D9" s="193">
        <f>'jaarrekening 2021'!C9</f>
        <v>9805.36</v>
      </c>
      <c r="E9" s="4"/>
      <c r="F9" s="221"/>
      <c r="G9" s="221"/>
      <c r="I9" s="51"/>
    </row>
    <row r="10" spans="1:9" ht="15" x14ac:dyDescent="0.25">
      <c r="A10" s="365"/>
      <c r="C10" s="116"/>
      <c r="D10" s="193"/>
      <c r="E10" s="4"/>
      <c r="F10" s="221"/>
      <c r="G10" s="348"/>
      <c r="H10" s="773"/>
      <c r="I10" s="751"/>
    </row>
    <row r="11" spans="1:9" ht="15" x14ac:dyDescent="0.25">
      <c r="A11" s="23"/>
      <c r="C11" s="116"/>
      <c r="D11" s="193"/>
      <c r="E11" s="4"/>
      <c r="F11" s="221" t="str">
        <f>'31 dec 2019'!E19</f>
        <v>*Reservering diversen</v>
      </c>
      <c r="G11" s="348">
        <f>'31 dec 2019'!F19</f>
        <v>4</v>
      </c>
      <c r="H11" s="116">
        <f>'31 dec 2023'!H12</f>
        <v>0</v>
      </c>
      <c r="I11" s="194">
        <f>'jaarrekening 2021'!H11</f>
        <v>80.7</v>
      </c>
    </row>
    <row r="12" spans="1:9" ht="15" x14ac:dyDescent="0.25">
      <c r="A12" s="192" t="s">
        <v>73</v>
      </c>
      <c r="B12" s="7"/>
      <c r="C12" s="116">
        <f>'31 dec 2023'!A17</f>
        <v>10223.750000000004</v>
      </c>
      <c r="D12" s="193">
        <f>'jaarrekening 2021'!C12</f>
        <v>12121.65</v>
      </c>
      <c r="E12" s="4"/>
      <c r="F12" s="221"/>
      <c r="G12" s="348"/>
      <c r="H12" s="422"/>
      <c r="I12" s="231"/>
    </row>
    <row r="13" spans="1:9" ht="15" x14ac:dyDescent="0.25">
      <c r="A13" s="365"/>
      <c r="B13" s="116"/>
      <c r="C13" s="193"/>
      <c r="E13" s="4"/>
      <c r="F13" s="221" t="str">
        <f>'31 dec 2019'!E22</f>
        <v>*Te besteden 50 dingen boekje</v>
      </c>
      <c r="G13" s="348">
        <f>'31 dec 2019'!F22</f>
        <v>7</v>
      </c>
      <c r="H13" s="193">
        <f>'31 dec 2023'!H14</f>
        <v>10223.750000000004</v>
      </c>
      <c r="I13" s="231">
        <f>'jaarrekening 2021'!H13</f>
        <v>12121.650000000001</v>
      </c>
    </row>
    <row r="14" spans="1:9" ht="15" x14ac:dyDescent="0.25">
      <c r="A14" s="23"/>
      <c r="E14" s="4"/>
      <c r="F14" s="221" t="str">
        <f>'31 dec 2019'!E23</f>
        <v>*Basisonderwijs/st. Ronde Venen fonds</v>
      </c>
      <c r="G14" s="348">
        <f>'31 dec 2019'!F23</f>
        <v>8</v>
      </c>
      <c r="H14" s="193">
        <f>'31 dec 2023'!H16</f>
        <v>969.70999999999913</v>
      </c>
      <c r="I14" s="231">
        <f>'31 dec 2021'!H16</f>
        <v>8503.84</v>
      </c>
    </row>
    <row r="15" spans="1:9" ht="15" x14ac:dyDescent="0.25">
      <c r="A15" s="192"/>
      <c r="B15" s="7"/>
      <c r="C15" s="7"/>
      <c r="E15" s="4"/>
      <c r="F15" s="221"/>
      <c r="G15" s="348"/>
      <c r="H15" s="193"/>
      <c r="I15" s="231"/>
    </row>
    <row r="16" spans="1:9" ht="15" x14ac:dyDescent="0.25">
      <c r="A16" s="192"/>
      <c r="B16" s="7"/>
      <c r="C16" s="7"/>
      <c r="E16" s="4"/>
      <c r="F16" s="221"/>
      <c r="G16" s="348"/>
      <c r="H16" s="116"/>
      <c r="I16" s="194"/>
    </row>
    <row r="17" spans="1:11" ht="15" x14ac:dyDescent="0.25">
      <c r="A17" s="192"/>
      <c r="B17" s="7"/>
      <c r="C17" s="7"/>
      <c r="E17" s="4"/>
      <c r="F17" s="221" t="str">
        <f>'31 dec 2019'!E27</f>
        <v>*Ontwikkeling NME (1)</v>
      </c>
      <c r="G17" s="348">
        <f>'31 dec 2019'!F27</f>
        <v>12</v>
      </c>
      <c r="H17" s="116">
        <f>'31 dec 2023'!H18</f>
        <v>589.88000000000011</v>
      </c>
      <c r="I17" s="194">
        <f>'jaarrekening 2021'!H17</f>
        <v>375.87999999999988</v>
      </c>
    </row>
    <row r="18" spans="1:11" ht="15" x14ac:dyDescent="0.25">
      <c r="A18" s="192"/>
      <c r="B18" s="7"/>
      <c r="C18" s="7"/>
      <c r="E18" s="4"/>
      <c r="F18" s="221" t="str">
        <f>'31 dec 2019'!E28</f>
        <v>Izettle</v>
      </c>
      <c r="G18" s="348">
        <f>'31 dec 2019'!F28</f>
        <v>13</v>
      </c>
      <c r="H18" s="116">
        <f>'proj 2023'!F227</f>
        <v>0</v>
      </c>
      <c r="I18" s="194">
        <f>'jaarrekening 2021'!H18</f>
        <v>24.480000000000018</v>
      </c>
    </row>
    <row r="19" spans="1:11" ht="15.6" thickBot="1" x14ac:dyDescent="0.3">
      <c r="A19" s="309"/>
      <c r="B19" s="310"/>
      <c r="C19" s="310"/>
      <c r="D19" s="215"/>
      <c r="E19" s="311"/>
      <c r="F19" s="319"/>
      <c r="G19" s="767"/>
      <c r="H19" s="195"/>
      <c r="I19" s="196"/>
    </row>
    <row r="20" spans="1:11" ht="15" x14ac:dyDescent="0.25">
      <c r="A20" s="406" t="s">
        <v>205</v>
      </c>
      <c r="B20" s="193"/>
      <c r="C20" s="193">
        <f>SUM(C8:C14)</f>
        <v>20698.100000000013</v>
      </c>
      <c r="D20" s="193">
        <f>SUM(D8:D13)</f>
        <v>21927.010000000002</v>
      </c>
      <c r="E20" s="4"/>
      <c r="F20" s="7"/>
      <c r="G20" s="7"/>
      <c r="H20" s="193">
        <f>C20</f>
        <v>20698.100000000013</v>
      </c>
      <c r="I20" s="231">
        <v>21927.010000000002</v>
      </c>
      <c r="K20" s="116">
        <f>H20-H13</f>
        <v>10474.350000000009</v>
      </c>
    </row>
    <row r="21" spans="1:11" ht="15" x14ac:dyDescent="0.25">
      <c r="A21" s="192"/>
      <c r="B21" s="7"/>
      <c r="C21" s="7"/>
      <c r="D21" s="7"/>
      <c r="E21" s="4"/>
      <c r="F21" s="193"/>
      <c r="G21" s="7"/>
      <c r="H21" s="7"/>
      <c r="I21" s="191"/>
    </row>
    <row r="22" spans="1:11" ht="15.6" thickBot="1" x14ac:dyDescent="0.3">
      <c r="A22" s="309" t="s">
        <v>412</v>
      </c>
      <c r="B22" s="215"/>
      <c r="C22" s="215"/>
      <c r="D22" s="195">
        <f>C20-D20</f>
        <v>-1228.9099999999889</v>
      </c>
      <c r="E22" s="311"/>
      <c r="F22" s="310"/>
      <c r="G22" s="310"/>
      <c r="H22" s="319"/>
      <c r="I22" s="579"/>
    </row>
    <row r="23" spans="1:11" ht="15.6" x14ac:dyDescent="0.3">
      <c r="A23" s="838"/>
      <c r="B23" s="839"/>
      <c r="C23" s="839"/>
      <c r="D23" s="839"/>
      <c r="E23" s="839"/>
      <c r="F23" s="839"/>
      <c r="G23" s="839"/>
      <c r="H23" s="839"/>
      <c r="I23" s="839"/>
    </row>
    <row r="24" spans="1:11" ht="13.8" x14ac:dyDescent="0.25">
      <c r="A24" s="321"/>
      <c r="B24" s="322"/>
      <c r="C24" s="322"/>
      <c r="D24" s="799"/>
      <c r="E24" s="324"/>
      <c r="F24" s="219"/>
      <c r="G24" s="219"/>
      <c r="H24" s="219"/>
      <c r="I24" s="219"/>
    </row>
    <row r="25" spans="1:11" x14ac:dyDescent="0.25">
      <c r="H25" s="116">
        <f>D22-H40</f>
        <v>3018.7900000000118</v>
      </c>
    </row>
    <row r="26" spans="1:11" ht="13.8" thickBot="1" x14ac:dyDescent="0.3"/>
    <row r="27" spans="1:11" ht="15.6" x14ac:dyDescent="0.3">
      <c r="A27" s="841" t="s">
        <v>660</v>
      </c>
      <c r="B27" s="842"/>
      <c r="C27" s="842"/>
      <c r="D27" s="842"/>
      <c r="E27" s="842"/>
      <c r="F27" s="842"/>
      <c r="G27" s="842"/>
      <c r="H27" s="842"/>
      <c r="I27" s="843"/>
    </row>
    <row r="28" spans="1:11" ht="13.8" x14ac:dyDescent="0.25">
      <c r="A28" s="321" t="s">
        <v>175</v>
      </c>
      <c r="B28" s="322"/>
      <c r="C28" s="322"/>
      <c r="D28" s="322"/>
      <c r="E28" s="324"/>
      <c r="F28" s="219" t="s">
        <v>176</v>
      </c>
      <c r="G28" s="219"/>
      <c r="H28" s="219"/>
      <c r="I28" s="454"/>
    </row>
    <row r="29" spans="1:11" x14ac:dyDescent="0.25">
      <c r="A29" s="23"/>
      <c r="C29">
        <v>2022</v>
      </c>
      <c r="D29">
        <v>2021</v>
      </c>
      <c r="E29" s="224"/>
      <c r="H29">
        <v>2022</v>
      </c>
      <c r="I29">
        <v>2021</v>
      </c>
    </row>
    <row r="30" spans="1:11" ht="13.8" x14ac:dyDescent="0.25">
      <c r="A30" s="42"/>
      <c r="B30" s="1"/>
      <c r="F30" s="7"/>
      <c r="G30" s="1"/>
      <c r="H30" s="116"/>
      <c r="I30" s="116"/>
    </row>
    <row r="31" spans="1:11" x14ac:dyDescent="0.25">
      <c r="A31" s="192" t="s">
        <v>67</v>
      </c>
      <c r="B31" s="7" t="s">
        <v>112</v>
      </c>
      <c r="C31">
        <f>'jaarekening 2022'!F62</f>
        <v>0</v>
      </c>
      <c r="D31" s="116"/>
      <c r="E31" s="7"/>
      <c r="F31" s="7" t="s">
        <v>211</v>
      </c>
      <c r="G31" s="7" t="s">
        <v>112</v>
      </c>
      <c r="H31" s="116">
        <f>'proj 2023'!F39</f>
        <v>-119.41000000000001</v>
      </c>
      <c r="I31" s="116">
        <v>-119.40000000000002</v>
      </c>
    </row>
    <row r="32" spans="1:11" x14ac:dyDescent="0.25">
      <c r="A32" s="192"/>
      <c r="B32" s="7"/>
      <c r="D32" s="116"/>
      <c r="E32" s="7"/>
      <c r="F32" s="7" t="str">
        <f>'project 2020'!B41</f>
        <v>Herinrichting Ruimte</v>
      </c>
      <c r="G32" s="7" t="s">
        <v>585</v>
      </c>
      <c r="H32" s="116"/>
      <c r="I32" s="116"/>
    </row>
    <row r="33" spans="1:9" x14ac:dyDescent="0.25">
      <c r="A33" s="25" t="s">
        <v>83</v>
      </c>
      <c r="B33" t="s">
        <v>115</v>
      </c>
      <c r="C33" s="193">
        <v>1.28</v>
      </c>
      <c r="D33" s="116">
        <v>11.53</v>
      </c>
      <c r="E33" s="7"/>
      <c r="F33" s="7" t="s">
        <v>83</v>
      </c>
      <c r="G33" t="s">
        <v>115</v>
      </c>
      <c r="H33" s="116">
        <f>'proj 2023'!F91</f>
        <v>-1258.3999999999999</v>
      </c>
      <c r="I33" s="116">
        <v>-889.41</v>
      </c>
    </row>
    <row r="34" spans="1:9" x14ac:dyDescent="0.25">
      <c r="A34" s="192" t="s">
        <v>88</v>
      </c>
      <c r="B34" t="s">
        <v>116</v>
      </c>
      <c r="C34" s="193">
        <f>'proj 2023'!F135</f>
        <v>187.07</v>
      </c>
      <c r="D34" s="116">
        <v>8371.84</v>
      </c>
      <c r="E34" s="7"/>
      <c r="F34" s="284" t="s">
        <v>153</v>
      </c>
      <c r="G34" t="s">
        <v>116</v>
      </c>
      <c r="H34" s="116">
        <f>'proj 2023'!F131</f>
        <v>-5507.76</v>
      </c>
      <c r="I34" s="116">
        <v>-1118</v>
      </c>
    </row>
    <row r="35" spans="1:9" x14ac:dyDescent="0.25">
      <c r="A35" s="192"/>
      <c r="C35" s="116"/>
      <c r="D35" s="116"/>
      <c r="E35" s="7"/>
      <c r="F35" s="284"/>
      <c r="H35" s="106"/>
      <c r="I35" s="106"/>
    </row>
    <row r="36" spans="1:9" x14ac:dyDescent="0.25">
      <c r="A36" s="344" t="s">
        <v>226</v>
      </c>
      <c r="B36" t="s">
        <v>141</v>
      </c>
      <c r="C36" s="193">
        <f>'proj 2023'!F172</f>
        <v>2474</v>
      </c>
      <c r="D36" s="116">
        <v>351.03</v>
      </c>
      <c r="E36" s="7"/>
      <c r="F36" s="7" t="s">
        <v>226</v>
      </c>
      <c r="G36" s="7" t="s">
        <v>141</v>
      </c>
      <c r="H36" s="116">
        <f>'proj 2023'!F167</f>
        <v>0</v>
      </c>
      <c r="I36" s="116">
        <v>-2250</v>
      </c>
    </row>
    <row r="37" spans="1:9" x14ac:dyDescent="0.25">
      <c r="A37" s="344" t="s">
        <v>518</v>
      </c>
      <c r="B37" s="7" t="s">
        <v>520</v>
      </c>
      <c r="C37" s="116">
        <f>'proj 2023'!F226</f>
        <v>19.45</v>
      </c>
      <c r="D37" s="116">
        <v>563.58000000000004</v>
      </c>
      <c r="E37" s="221"/>
      <c r="F37" t="str">
        <f>'31 dec 2019'!E28</f>
        <v>Izettle</v>
      </c>
      <c r="G37" s="7" t="s">
        <v>520</v>
      </c>
      <c r="H37" s="116">
        <f>'proj 2023'!F222</f>
        <v>-43.93</v>
      </c>
      <c r="I37" s="116">
        <v>-538.6</v>
      </c>
    </row>
    <row r="38" spans="1:9" x14ac:dyDescent="0.25">
      <c r="A38" s="768"/>
      <c r="B38" s="641"/>
      <c r="D38" s="641"/>
      <c r="E38" s="298"/>
      <c r="F38" s="295"/>
      <c r="G38" s="295"/>
      <c r="H38" s="295"/>
      <c r="I38" s="295"/>
    </row>
    <row r="39" spans="1:9" ht="15.6" x14ac:dyDescent="0.3">
      <c r="A39" s="769" t="s">
        <v>219</v>
      </c>
      <c r="B39" s="646"/>
      <c r="C39" s="647">
        <f>SUM(C31:C38)</f>
        <v>2681.7999999999997</v>
      </c>
      <c r="D39" s="647">
        <v>9297.9800000000014</v>
      </c>
      <c r="E39" s="648"/>
      <c r="F39" s="646" t="s">
        <v>218</v>
      </c>
      <c r="G39" s="646"/>
      <c r="H39" s="649">
        <f>SUM(H30:H37)</f>
        <v>-6929.5</v>
      </c>
      <c r="I39" s="649">
        <v>-4915.41</v>
      </c>
    </row>
    <row r="40" spans="1:9" ht="15.6" x14ac:dyDescent="0.3">
      <c r="A40" s="23"/>
      <c r="E40" s="221"/>
      <c r="F40" s="346" t="s">
        <v>661</v>
      </c>
      <c r="G40" s="346"/>
      <c r="H40" s="347">
        <f>C39+H39</f>
        <v>-4247.7000000000007</v>
      </c>
      <c r="I40" s="582"/>
    </row>
    <row r="41" spans="1:9" ht="13.8" x14ac:dyDescent="0.25">
      <c r="A41" s="192"/>
      <c r="C41" s="116"/>
      <c r="E41" s="221"/>
      <c r="F41" s="1" t="s">
        <v>629</v>
      </c>
      <c r="G41" s="1"/>
      <c r="H41" s="629"/>
      <c r="I41" s="771">
        <f>D39+I39</f>
        <v>4382.5700000000015</v>
      </c>
    </row>
    <row r="42" spans="1:9" x14ac:dyDescent="0.25">
      <c r="A42" s="768"/>
      <c r="B42" s="641"/>
      <c r="C42" s="641"/>
      <c r="D42" s="296"/>
      <c r="E42" s="298"/>
      <c r="F42" s="641"/>
      <c r="G42" s="641"/>
      <c r="H42" s="641"/>
      <c r="I42" s="772"/>
    </row>
    <row r="43" spans="1:9" ht="13.8" x14ac:dyDescent="0.25">
      <c r="A43" s="42"/>
      <c r="B43" s="1"/>
      <c r="C43" s="1"/>
      <c r="D43" s="1"/>
      <c r="E43" s="324"/>
      <c r="H43" s="116"/>
      <c r="I43" s="194"/>
    </row>
    <row r="44" spans="1:9" ht="15" x14ac:dyDescent="0.25">
      <c r="A44" s="844" t="s">
        <v>200</v>
      </c>
      <c r="B44" s="845"/>
      <c r="C44" s="845"/>
      <c r="D44" s="845"/>
      <c r="E44" s="845"/>
      <c r="F44" s="845"/>
      <c r="G44" s="845"/>
      <c r="H44" s="845"/>
      <c r="I44" s="846"/>
    </row>
    <row r="45" spans="1:9" ht="13.8" x14ac:dyDescent="0.25">
      <c r="A45" s="337"/>
      <c r="B45" s="338"/>
      <c r="C45" s="338"/>
      <c r="D45" s="338"/>
      <c r="E45" s="324"/>
      <c r="I45" s="51"/>
    </row>
    <row r="46" spans="1:9" x14ac:dyDescent="0.25">
      <c r="A46" s="847" t="s">
        <v>201</v>
      </c>
      <c r="B46" s="848"/>
      <c r="C46" s="848"/>
      <c r="D46" s="848"/>
      <c r="E46" s="848"/>
      <c r="F46" s="848"/>
      <c r="G46" s="848"/>
      <c r="H46" s="848"/>
      <c r="I46" s="849"/>
    </row>
    <row r="47" spans="1:9" ht="14.4" thickBot="1" x14ac:dyDescent="0.3">
      <c r="A47" s="339"/>
      <c r="B47" s="340"/>
      <c r="C47" s="340"/>
      <c r="D47" s="340"/>
      <c r="E47" s="342"/>
      <c r="F47" s="215"/>
      <c r="G47" s="215"/>
      <c r="H47" s="215"/>
      <c r="I47" s="216"/>
    </row>
  </sheetData>
  <mergeCells count="5">
    <mergeCell ref="A4:I4"/>
    <mergeCell ref="A23:I23"/>
    <mergeCell ref="A27:I27"/>
    <mergeCell ref="A44:I44"/>
    <mergeCell ref="A46:I46"/>
  </mergeCells>
  <pageMargins left="0.7" right="0.7" top="0.75" bottom="0.75" header="0.3" footer="0.3"/>
  <pageSetup paperSize="9" scale="71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28</vt:i4>
      </vt:variant>
      <vt:variant>
        <vt:lpstr>Benoemde bereiken</vt:lpstr>
      </vt:variant>
      <vt:variant>
        <vt:i4>15</vt:i4>
      </vt:variant>
    </vt:vector>
  </HeadingPairs>
  <TitlesOfParts>
    <vt:vector size="43" baseType="lpstr">
      <vt:lpstr>31 dec 2024</vt:lpstr>
      <vt:lpstr>jaarrek 2024</vt:lpstr>
      <vt:lpstr>proj 2024 jr</vt:lpstr>
      <vt:lpstr>pr 2024 uitgbr</vt:lpstr>
      <vt:lpstr>jaarek 2023</vt:lpstr>
      <vt:lpstr>31 dec 2023</vt:lpstr>
      <vt:lpstr>proj 2023</vt:lpstr>
      <vt:lpstr>Blad4</vt:lpstr>
      <vt:lpstr>jaarekening 2022</vt:lpstr>
      <vt:lpstr>jaarrekening 2021</vt:lpstr>
      <vt:lpstr>31 dec 2021</vt:lpstr>
      <vt:lpstr>proj 2021</vt:lpstr>
      <vt:lpstr>Blad3</vt:lpstr>
      <vt:lpstr>jaarrekening 2020</vt:lpstr>
      <vt:lpstr>31 dec 2020</vt:lpstr>
      <vt:lpstr>project 2020</vt:lpstr>
      <vt:lpstr>Blad1</vt:lpstr>
      <vt:lpstr>jaarekening 2019  begr 2020</vt:lpstr>
      <vt:lpstr>31 dec 2019</vt:lpstr>
      <vt:lpstr>project 2019</vt:lpstr>
      <vt:lpstr>project 2018 def</vt:lpstr>
      <vt:lpstr>jaarek 2018 begr 2019</vt:lpstr>
      <vt:lpstr>project 2018</vt:lpstr>
      <vt:lpstr>jaarrek 2017 begr 2018 </vt:lpstr>
      <vt:lpstr>jaarekening 2016 begr 2017</vt:lpstr>
      <vt:lpstr>fin overz 31 dec 2016</vt:lpstr>
      <vt:lpstr>project 2016</vt:lpstr>
      <vt:lpstr>projecten 2015</vt:lpstr>
      <vt:lpstr>'31 dec 2019'!Afdrukbereik</vt:lpstr>
      <vt:lpstr>'31 dec 2021'!Afdrukbereik</vt:lpstr>
      <vt:lpstr>'31 dec 2023'!Afdrukbereik</vt:lpstr>
      <vt:lpstr>'31 dec 2024'!Afdrukbereik</vt:lpstr>
      <vt:lpstr>Blad1!Afdrukbereik</vt:lpstr>
      <vt:lpstr>'fin overz 31 dec 2016'!Afdrukbereik</vt:lpstr>
      <vt:lpstr>'jaarek 2018 begr 2019'!Afdrukbereik</vt:lpstr>
      <vt:lpstr>'jaarekening 2019  begr 2020'!Afdrukbereik</vt:lpstr>
      <vt:lpstr>'jaarekening 2022'!Afdrukbereik</vt:lpstr>
      <vt:lpstr>'jaarrek 2024'!Afdrukbereik</vt:lpstr>
      <vt:lpstr>'proj 2021'!Afdrukbereik</vt:lpstr>
      <vt:lpstr>'proj 2023'!Afdrukbereik</vt:lpstr>
      <vt:lpstr>'project 2016'!Afdrukbereik</vt:lpstr>
      <vt:lpstr>'project 2018'!Afdrukbereik</vt:lpstr>
      <vt:lpstr>'project 2020'!Afdrukbereik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Anneke Wortel</dc:creator>
  <cp:keywords>xlxs</cp:keywords>
  <cp:lastModifiedBy>Marlou Bours</cp:lastModifiedBy>
  <cp:lastPrinted>2025-01-27T13:27:23Z</cp:lastPrinted>
  <dcterms:created xsi:type="dcterms:W3CDTF">2005-07-18T07:32:59Z</dcterms:created>
  <dcterms:modified xsi:type="dcterms:W3CDTF">2025-06-30T09:26:47Z</dcterms:modified>
</cp:coreProperties>
</file>